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DPCR FINAL SUBMISSIONS\RRP 2019-20 OFGEM SUBMISSIONS\Published\"/>
    </mc:Choice>
  </mc:AlternateContent>
  <xr:revisionPtr revIDLastSave="0" documentId="8_{97298052-6A05-427A-AE4F-EA16D2526031}" xr6:coauthVersionLast="45" xr6:coauthVersionMax="45" xr10:uidLastSave="{00000000-0000-0000-0000-000000000000}"/>
  <bookViews>
    <workbookView xWindow="-98" yWindow="-98" windowWidth="20715" windowHeight="13276" xr2:uid="{8CCD3DEE-DCFB-41AF-A805-D995367B62BE}"/>
  </bookViews>
  <sheets>
    <sheet name="2.2 Totex costs summary" sheetId="1" r:id="rId1"/>
    <sheet name="2.3 Workload summary" sheetId="2" r:id="rId2"/>
    <sheet name="2.4 Safety" sheetId="3" r:id="rId3"/>
    <sheet name="2.5 Reliability" sheetId="4" r:id="rId4"/>
    <sheet name="2.6 Environmental" sheetId="5" r:id="rId5"/>
    <sheet name="2.7 Performance Snapshot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hom1" hidden="1">{#N/A,#N/A,FALSE,"Assessment";#N/A,#N/A,FALSE,"Staffing";#N/A,#N/A,FALSE,"Hires";#N/A,#N/A,FALSE,"Assumptions"}</definedName>
    <definedName name="________k1" hidden="1">{#N/A,#N/A,FALSE,"Assessment";#N/A,#N/A,FALSE,"Staffing";#N/A,#N/A,FALSE,"Hires";#N/A,#N/A,FALSE,"Assumptions"}</definedName>
    <definedName name="________kk1" hidden="1">{#N/A,#N/A,FALSE,"Assessment";#N/A,#N/A,FALSE,"Staffing";#N/A,#N/A,FALSE,"Hires";#N/A,#N/A,FALSE,"Assumptions"}</definedName>
    <definedName name="________KKK1" hidden="1">{#N/A,#N/A,FALSE,"Assessment";#N/A,#N/A,FALSE,"Staffing";#N/A,#N/A,FALSE,"Hires";#N/A,#N/A,FALSE,"Assumptions"}</definedName>
    <definedName name="__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9" hidden="1">{"holdco",#N/A,FALSE,"Summary Financials";"holdco",#N/A,FALSE,"Summary Financials"}</definedName>
    <definedName name="________wrn1" hidden="1">{"holdco",#N/A,FALSE,"Summary Financials";"holdco",#N/A,FALSE,"Summary Financials"}</definedName>
    <definedName name="________wrn2" hidden="1">{"holdco",#N/A,FALSE,"Summary Financials";"holdco",#N/A,FALSE,"Summary Financials"}</definedName>
    <definedName name="________wrn3" hidden="1">{"holdco",#N/A,FALSE,"Summary Financials";"holdco",#N/A,FALSE,"Summary Financials"}</definedName>
    <definedName name="__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8" hidden="1">{"holdco",#N/A,FALSE,"Summary Financials";"holdco",#N/A,FALSE,"Summary Financials"}</definedName>
    <definedName name="_______bb2" hidden="1">{#N/A,#N/A,FALSE,"PRJCTED MNTHLY QTY's"}</definedName>
    <definedName name="_______Lee5" hidden="1">{#VALUE!,#N/A,FALSE,0}</definedName>
    <definedName name="______hom1" hidden="1">{#N/A,#N/A,FALSE,"Assessment";#N/A,#N/A,FALSE,"Staffing";#N/A,#N/A,FALSE,"Hires";#N/A,#N/A,FALSE,"Assumptions"}</definedName>
    <definedName name="______k1" hidden="1">{#N/A,#N/A,FALSE,"Assessment";#N/A,#N/A,FALSE,"Staffing";#N/A,#N/A,FALSE,"Hires";#N/A,#N/A,FALSE,"Assumptions"}</definedName>
    <definedName name="______kk1" hidden="1">{#N/A,#N/A,FALSE,"Assessment";#N/A,#N/A,FALSE,"Staffing";#N/A,#N/A,FALSE,"Hires";#N/A,#N/A,FALSE,"Assumptions"}</definedName>
    <definedName name="______KKK1" hidden="1">{#N/A,#N/A,FALSE,"Assessment";#N/A,#N/A,FALSE,"Staffing";#N/A,#N/A,FALSE,"Hires";#N/A,#N/A,FALSE,"Assumptions"}</definedName>
    <definedName name="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9" hidden="1">{"holdco",#N/A,FALSE,"Summary Financials";"holdco",#N/A,FALSE,"Summary Financials"}</definedName>
    <definedName name="______wrn1" hidden="1">{"holdco",#N/A,FALSE,"Summary Financials";"holdco",#N/A,FALSE,"Summary Financials"}</definedName>
    <definedName name="______wrn2" hidden="1">{"holdco",#N/A,FALSE,"Summary Financials";"holdco",#N/A,FALSE,"Summary Financials"}</definedName>
    <definedName name="______wrn3" hidden="1">{"holdco",#N/A,FALSE,"Summary Financials";"holdco",#N/A,FALSE,"Summary Financials"}</definedName>
    <definedName name="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8" hidden="1">{"holdco",#N/A,FALSE,"Summary Financials";"holdco",#N/A,FALSE,"Summary Financials"}</definedName>
    <definedName name="_____KKK1" hidden="1">{#N/A,#N/A,FALSE,"Assessment";#N/A,#N/A,FALSE,"Staffing";#N/A,#N/A,FALSE,"Hires";#N/A,#N/A,FALSE,"Assumptions"}</definedName>
    <definedName name="_____wrn1" hidden="1">{"holdco",#N/A,FALSE,"Summary Financials";"holdco",#N/A,FALSE,"Summary Financials"}</definedName>
    <definedName name="_____wrn2" hidden="1">{"holdco",#N/A,FALSE,"Summary Financials";"holdco",#N/A,FALSE,"Summary Financials"}</definedName>
    <definedName name="_____wrn3" hidden="1">{"holdco",#N/A,FALSE,"Summary Financials";"holdco",#N/A,FALSE,"Summary Financials"}</definedName>
    <definedName name="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8" hidden="1">{"holdco",#N/A,FALSE,"Summary Financials";"holdco",#N/A,FALSE,"Summary Financials"}</definedName>
    <definedName name="__123Graph_B" hidden="1">'[2]Universal data'!#REF!</definedName>
    <definedName name="__123Graph_C" hidden="1">'[2]Universal data'!#REF!</definedName>
    <definedName name="__123Graph_D" hidden="1">'[2]Universal data'!#REF!</definedName>
    <definedName name="__123Graph_X" hidden="1">'[2]Universal data'!#REF!</definedName>
    <definedName name="__FDS_HYPERLINK_TOGGLE_STATE__" hidden="1">"ON"</definedName>
    <definedName name="__hom1" hidden="1">{#N/A,#N/A,FALSE,"Assessment";#N/A,#N/A,FALSE,"Staffing";#N/A,#N/A,FALSE,"Hires";#N/A,#N/A,FALSE,"Assumptions"}</definedName>
    <definedName name="__IntlFixup" hidden="1">TRUE</definedName>
    <definedName name="__kk1" hidden="1">{#N/A,#N/A,FALSE,"Assessment";#N/A,#N/A,FALSE,"Staffing";#N/A,#N/A,FALSE,"Hires";#N/A,#N/A,FALSE,"Assumptions"}</definedName>
    <definedName name="__KKK1" hidden="1">{#N/A,#N/A,FALSE,"Assessment";#N/A,#N/A,FALSE,"Staffing";#N/A,#N/A,FALSE,"Hires";#N/A,#N/A,FALSE,"Assumptions"}</definedName>
    <definedName name="__wrn1" hidden="1">{"holdco",#N/A,FALSE,"Summary Financials";"holdco",#N/A,FALSE,"Summary Financials"}</definedName>
    <definedName name="__wrn2" hidden="1">{"holdco",#N/A,FALSE,"Summary Financials";"holdco",#N/A,FALSE,"Summary Financials"}</definedName>
    <definedName name="__wrn3" hidden="1">{"holdco",#N/A,FALSE,"Summary Financials";"holdco",#N/A,FALSE,"Summary Financials"}</definedName>
    <definedName name="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8" hidden="1">{"holdco",#N/A,FALSE,"Summary Financials";"holdco",#N/A,FALSE,"Summary Financials"}</definedName>
    <definedName name="_139__123Graph_LBL_DCHART_3" hidden="1">[3]Graphs!$D$59:$D$59</definedName>
    <definedName name="_142__123Graph_LBL_FCHART_1" hidden="1">[3]Graphs!$G$59:$G$59</definedName>
    <definedName name="_143__123Graph_LBL_FCHART_3" hidden="1">[3]Graphs!$G$59:$G$59</definedName>
    <definedName name="_33__123Graph_LBL_ECHART_3" hidden="1">[3]Graphs!$F$59:$F$59</definedName>
    <definedName name="_34__123Graph_LBL_FCHART_1" hidden="1">[3]Graphs!$G$59:$G$59</definedName>
    <definedName name="_35__123Graph_LBL_FCHART_3" hidden="1">[3]Graphs!$G$59:$G$59</definedName>
    <definedName name="_49__123Graph_LBL_FCHART_1" hidden="1">[3]Graphs!$G$59:$G$59</definedName>
    <definedName name="_AtRisk_SimSetting_AutomaticallyGenerateReports" hidden="1">FALSE</definedName>
    <definedName name="_AtRisk_SimSetting_AutomaticResultsDisplayMode" hidden="1">3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hidden="1">#REF!</definedName>
    <definedName name="_ftn1" localSheetId="5">'2.7 Performance Snapshot'!#REF!</definedName>
    <definedName name="_ftn2" localSheetId="5">'2.7 Performance Snapshot'!#REF!</definedName>
    <definedName name="_ftn3" localSheetId="5">'2.7 Performance Snapshot'!#REF!</definedName>
    <definedName name="_ftn4" localSheetId="5">'2.7 Performance Snapshot'!#REF!</definedName>
    <definedName name="_ftn5" localSheetId="5">'2.7 Performance Snapshot'!#REF!</definedName>
    <definedName name="_ftn6" localSheetId="5">'2.7 Performance Snapshot'!#REF!</definedName>
    <definedName name="_ftnref1" localSheetId="5">'2.7 Performance Snapshot'!#REF!</definedName>
    <definedName name="_ftnref2" localSheetId="5">'2.7 Performance Snapshot'!#REF!</definedName>
    <definedName name="_ftnref5" localSheetId="5">'2.7 Performance Snapshot'!$A$22</definedName>
    <definedName name="_ftnref6" localSheetId="5">'2.7 Performance Snapshot'!#REF!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Ref457995452" localSheetId="5">'2.7 Performance Snapshot'!#REF!</definedName>
    <definedName name="_Ref457995664" localSheetId="5">'2.7 Performance Snapshot'!$D$10</definedName>
    <definedName name="_Sort" hidden="1">#REF!</definedName>
    <definedName name="a" hidden="1">#REF!</definedName>
    <definedName name="AAA_duser" hidden="1">"OFF"</definedName>
    <definedName name="AAB_GSPPG" hidden="1">"AAB_Goldman Sachs PPG Chart Utilities 1.0g"</definedName>
    <definedName name="AccessDatabase" hidden="1">"C:\DATA\KEVIN\MODELS\Model 0218.mdb"</definedName>
    <definedName name="ACwvu.CapersView." hidden="1">[4]Sheet1!#REF!</definedName>
    <definedName name="ACwvu.Japan_Capers_Ed_Pub." hidden="1">#REF!</definedName>
    <definedName name="ACwvu.KJP_CC." hidden="1">#REF!</definedName>
    <definedName name="Baseline_Risk">#REF!</definedName>
    <definedName name="BExEZ4HBCC06708765M8A06KCR7P" hidden="1">#N/A</definedName>
    <definedName name="BLPH1" hidden="1">[5]Sheet2!#REF!</definedName>
    <definedName name="BLPH10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#REF!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#REF!</definedName>
    <definedName name="BLPH130" hidden="1">#REF!</definedName>
    <definedName name="BLPH131" hidden="1">#REF!</definedName>
    <definedName name="BLPH132" hidden="1">#REF!</definedName>
    <definedName name="BLPH133" hidden="1">#REF!</definedName>
    <definedName name="BLPH134" hidden="1">#REF!</definedName>
    <definedName name="BLPH135" hidden="1">#REF!</definedName>
    <definedName name="BLPH136" hidden="1">#REF!</definedName>
    <definedName name="BLPH137" hidden="1">#REF!</definedName>
    <definedName name="BLPH138" hidden="1">#REF!</definedName>
    <definedName name="BLPH139" hidden="1">#REF!</definedName>
    <definedName name="BLPH14" hidden="1">#REF!</definedName>
    <definedName name="BLPH140" hidden="1">#REF!</definedName>
    <definedName name="BLPH141" hidden="1">#REF!</definedName>
    <definedName name="BLPH142" hidden="1">#REF!</definedName>
    <definedName name="BLPH143" hidden="1">#REF!</definedName>
    <definedName name="BLPH144" hidden="1">#REF!</definedName>
    <definedName name="BLPH145" hidden="1">#REF!</definedName>
    <definedName name="BLPH146" hidden="1">#REF!</definedName>
    <definedName name="BLPH147" hidden="1">#REF!</definedName>
    <definedName name="BLPH148" hidden="1">#REF!</definedName>
    <definedName name="BLPH149" hidden="1">#REF!</definedName>
    <definedName name="BLPH15" hidden="1">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66" hidden="1">#REF!</definedName>
    <definedName name="BLPH167" hidden="1">#REF!</definedName>
    <definedName name="BLPH168" hidden="1">#REF!</definedName>
    <definedName name="BLPH169" hidden="1">#REF!</definedName>
    <definedName name="BLPH17" hidden="1">#REF!</definedName>
    <definedName name="BLPH170" hidden="1">#REF!</definedName>
    <definedName name="BLPH171" hidden="1">#REF!</definedName>
    <definedName name="BLPH172" hidden="1">#REF!</definedName>
    <definedName name="BLPH173" hidden="1">#REF!</definedName>
    <definedName name="BLPH174" hidden="1">#REF!</definedName>
    <definedName name="BLPH175" hidden="1">#REF!</definedName>
    <definedName name="BLPH176" hidden="1">#REF!</definedName>
    <definedName name="BLPH177" hidden="1">#REF!</definedName>
    <definedName name="BLPH178" hidden="1">#REF!</definedName>
    <definedName name="BLPH179" hidden="1">#REF!</definedName>
    <definedName name="BLPH18" hidden="1">#REF!</definedName>
    <definedName name="BLPH180" hidden="1">#REF!</definedName>
    <definedName name="BLPH181" hidden="1">#REF!</definedName>
    <definedName name="BLPH182" hidden="1">#REF!</definedName>
    <definedName name="BLPH183" hidden="1">#REF!</definedName>
    <definedName name="BLPH184" hidden="1">#REF!</definedName>
    <definedName name="BLPH185" hidden="1">#REF!</definedName>
    <definedName name="BLPH186" hidden="1">#REF!</definedName>
    <definedName name="BLPH187" hidden="1">#REF!</definedName>
    <definedName name="BLPH188" hidden="1">#REF!</definedName>
    <definedName name="BLPH189" hidden="1">#REF!</definedName>
    <definedName name="BLPH19" hidden="1">#REF!</definedName>
    <definedName name="BLPH190" hidden="1">#REF!</definedName>
    <definedName name="BLPH191" hidden="1">#REF!</definedName>
    <definedName name="BLPH192" hidden="1">#REF!</definedName>
    <definedName name="BLPH193" hidden="1">#REF!</definedName>
    <definedName name="BLPH194" hidden="1">#REF!</definedName>
    <definedName name="BLPH195" hidden="1">#REF!</definedName>
    <definedName name="BLPH196" hidden="1">#REF!</definedName>
    <definedName name="BLPH197" hidden="1">#REF!</definedName>
    <definedName name="BLPH198" hidden="1">#REF!</definedName>
    <definedName name="BLPH199" hidden="1">#REF!</definedName>
    <definedName name="BLPH2" hidden="1">[5]Sheet2!#REF!</definedName>
    <definedName name="BLPH20" hidden="1">#REF!</definedName>
    <definedName name="BLPH200" hidden="1">#REF!</definedName>
    <definedName name="BLPH201" hidden="1">#REF!</definedName>
    <definedName name="BLPH202" hidden="1">#REF!</definedName>
    <definedName name="BLPH203" hidden="1">#REF!</definedName>
    <definedName name="BLPH204" hidden="1">#REF!</definedName>
    <definedName name="BLPH205" hidden="1">#REF!</definedName>
    <definedName name="BLPH206" hidden="1">#REF!</definedName>
    <definedName name="BLPH207" hidden="1">#REF!</definedName>
    <definedName name="BLPH208" hidden="1">#REF!</definedName>
    <definedName name="BLPH209" hidden="1">#REF!</definedName>
    <definedName name="BLPH21" hidden="1">'[6]Risk-Free Rate'!$AQ$15</definedName>
    <definedName name="BLPH210" hidden="1">#REF!</definedName>
    <definedName name="BLPH211" hidden="1">#REF!</definedName>
    <definedName name="BLPH212" hidden="1">#REF!</definedName>
    <definedName name="BLPH213" hidden="1">#REF!</definedName>
    <definedName name="BLPH214" hidden="1">#REF!</definedName>
    <definedName name="BLPH215" hidden="1">#REF!</definedName>
    <definedName name="BLPH216" hidden="1">#REF!</definedName>
    <definedName name="BLPH217" hidden="1">#REF!</definedName>
    <definedName name="BLPH218" hidden="1">#REF!</definedName>
    <definedName name="BLPH219" hidden="1">#REF!</definedName>
    <definedName name="BLPH22" hidden="1">'[6]Risk-Free Rate'!$AN$15</definedName>
    <definedName name="BLPH220" hidden="1">#REF!</definedName>
    <definedName name="BLPH221" hidden="1">#REF!</definedName>
    <definedName name="BLPH222" hidden="1">#REF!</definedName>
    <definedName name="BLPH223" hidden="1">#REF!</definedName>
    <definedName name="BLPH224" hidden="1">#REF!</definedName>
    <definedName name="BLPH225" hidden="1">#REF!</definedName>
    <definedName name="BLPH226" hidden="1">#REF!</definedName>
    <definedName name="BLPH227" hidden="1">#REF!</definedName>
    <definedName name="BLPH228" hidden="1">#REF!</definedName>
    <definedName name="BLPH229" hidden="1">#REF!</definedName>
    <definedName name="BLPH23" hidden="1">'[6]Risk-Free Rate'!$AK$15</definedName>
    <definedName name="BLPH230" hidden="1">#REF!</definedName>
    <definedName name="BLPH231" hidden="1">#REF!</definedName>
    <definedName name="BLPH232" hidden="1">#REF!</definedName>
    <definedName name="BLPH233" hidden="1">#REF!</definedName>
    <definedName name="BLPH234" hidden="1">#REF!</definedName>
    <definedName name="BLPH235" hidden="1">#REF!</definedName>
    <definedName name="BLPH236" hidden="1">#REF!</definedName>
    <definedName name="BLPH237" hidden="1">#REF!</definedName>
    <definedName name="BLPH238" hidden="1">#REF!</definedName>
    <definedName name="BLPH239" hidden="1">#REF!</definedName>
    <definedName name="BLPH24" hidden="1">'[6]Risk-Free Rate'!$AH$15</definedName>
    <definedName name="BLPH240" hidden="1">#REF!</definedName>
    <definedName name="BLPH241" hidden="1">#REF!</definedName>
    <definedName name="BLPH242" hidden="1">#REF!</definedName>
    <definedName name="BLPH243" hidden="1">#REF!</definedName>
    <definedName name="BLPH244" hidden="1">#REF!</definedName>
    <definedName name="BLPH245" hidden="1">#REF!</definedName>
    <definedName name="BLPH246" hidden="1">#REF!</definedName>
    <definedName name="BLPH247" hidden="1">#REF!</definedName>
    <definedName name="BLPH248" hidden="1">#REF!</definedName>
    <definedName name="BLPH249" hidden="1">#REF!</definedName>
    <definedName name="BLPH25" hidden="1">'[6]Risk-Free Rate'!$AE$15</definedName>
    <definedName name="BLPH250" hidden="1">#REF!</definedName>
    <definedName name="BLPH251" hidden="1">#REF!</definedName>
    <definedName name="BLPH252" hidden="1">#REF!</definedName>
    <definedName name="BLPH253" hidden="1">#REF!</definedName>
    <definedName name="BLPH254" hidden="1">#REF!</definedName>
    <definedName name="BLPH255" hidden="1">#REF!</definedName>
    <definedName name="BLPH256" hidden="1">#REF!</definedName>
    <definedName name="BLPH257" hidden="1">#REF!</definedName>
    <definedName name="BLPH258" hidden="1">#REF!</definedName>
    <definedName name="BLPH259" hidden="1">#REF!</definedName>
    <definedName name="BLPH26" hidden="1">'[6]Risk-Free Rate'!$AB$15</definedName>
    <definedName name="BLPH260" hidden="1">#REF!</definedName>
    <definedName name="BLPH261" hidden="1">#REF!</definedName>
    <definedName name="BLPH262" hidden="1">#REF!</definedName>
    <definedName name="BLPH263" hidden="1">#REF!</definedName>
    <definedName name="BLPH264" hidden="1">#REF!</definedName>
    <definedName name="BLPH265" hidden="1">#REF!</definedName>
    <definedName name="BLPH266" hidden="1">#REF!</definedName>
    <definedName name="BLPH267" hidden="1">#REF!</definedName>
    <definedName name="BLPH268" hidden="1">#REF!</definedName>
    <definedName name="BLPH269" hidden="1">#REF!</definedName>
    <definedName name="BLPH27" hidden="1">'[6]Risk-Free Rate'!$Y$15</definedName>
    <definedName name="BLPH270" hidden="1">#REF!</definedName>
    <definedName name="BLPH271" hidden="1">#REF!</definedName>
    <definedName name="BLPH272" hidden="1">#REF!</definedName>
    <definedName name="BLPH273" hidden="1">#REF!</definedName>
    <definedName name="BLPH274" hidden="1">#REF!</definedName>
    <definedName name="BLPH275" hidden="1">#REF!</definedName>
    <definedName name="BLPH276" hidden="1">#REF!</definedName>
    <definedName name="BLPH277" hidden="1">#REF!</definedName>
    <definedName name="BLPH278" hidden="1">#REF!</definedName>
    <definedName name="BLPH279" hidden="1">#REF!</definedName>
    <definedName name="BLPH28" hidden="1">'[6]Risk-Free Rate'!$V$15</definedName>
    <definedName name="BLPH280" hidden="1">#REF!</definedName>
    <definedName name="BLPH281" hidden="1">#REF!</definedName>
    <definedName name="BLPH282" hidden="1">#REF!</definedName>
    <definedName name="BLPH283" hidden="1">#REF!</definedName>
    <definedName name="BLPH284" hidden="1">#REF!</definedName>
    <definedName name="BLPH285" hidden="1">#REF!</definedName>
    <definedName name="BLPH286" hidden="1">#REF!</definedName>
    <definedName name="BLPH287" hidden="1">#REF!</definedName>
    <definedName name="BLPH288" hidden="1">#REF!</definedName>
    <definedName name="BLPH289" hidden="1">#REF!</definedName>
    <definedName name="BLPH29" hidden="1">'[6]Risk-Free Rate'!$S$15</definedName>
    <definedName name="BLPH290" hidden="1">#REF!</definedName>
    <definedName name="BLPH291" hidden="1">#REF!</definedName>
    <definedName name="BLPH292" hidden="1">#REF!</definedName>
    <definedName name="BLPH293" hidden="1">#REF!</definedName>
    <definedName name="BLPH294" hidden="1">#REF!</definedName>
    <definedName name="BLPH295" hidden="1">#REF!</definedName>
    <definedName name="BLPH296" hidden="1">#REF!</definedName>
    <definedName name="BLPH297" hidden="1">#REF!</definedName>
    <definedName name="BLPH298" hidden="1">#REF!</definedName>
    <definedName name="BLPH299" hidden="1">#REF!</definedName>
    <definedName name="BLPH3" hidden="1">#REF!</definedName>
    <definedName name="BLPH30" hidden="1">'[6]Risk-Free Rate'!$P$15</definedName>
    <definedName name="BLPH300" hidden="1">#REF!</definedName>
    <definedName name="BLPH301" hidden="1">#REF!</definedName>
    <definedName name="BLPH302" hidden="1">#REF!</definedName>
    <definedName name="BLPH303" hidden="1">#REF!</definedName>
    <definedName name="BLPH304" hidden="1">#REF!</definedName>
    <definedName name="BLPH305" hidden="1">#REF!</definedName>
    <definedName name="BLPH306" hidden="1">#REF!</definedName>
    <definedName name="BLPH307" hidden="1">#REF!</definedName>
    <definedName name="BLPH308" hidden="1">#REF!</definedName>
    <definedName name="BLPH309" hidden="1">#REF!</definedName>
    <definedName name="BLPH31" hidden="1">'[6]Risk-Free Rate'!$M$15</definedName>
    <definedName name="BLPH310" hidden="1">#REF!</definedName>
    <definedName name="BLPH311" hidden="1">#REF!</definedName>
    <definedName name="BLPH312" hidden="1">#REF!</definedName>
    <definedName name="BLPH313" hidden="1">#REF!</definedName>
    <definedName name="BLPH314" hidden="1">#REF!</definedName>
    <definedName name="BLPH315" hidden="1">#REF!</definedName>
    <definedName name="BLPH316" hidden="1">#REF!</definedName>
    <definedName name="BLPH317" hidden="1">#REF!</definedName>
    <definedName name="BLPH318" hidden="1">#REF!</definedName>
    <definedName name="BLPH319" hidden="1">#REF!</definedName>
    <definedName name="BLPH32" hidden="1">'[6]Risk-Free Rate'!$J$15</definedName>
    <definedName name="BLPH320" hidden="1">#REF!</definedName>
    <definedName name="BLPH321" hidden="1">#REF!</definedName>
    <definedName name="BLPH322" hidden="1">#REF!</definedName>
    <definedName name="BLPH323" hidden="1">#REF!</definedName>
    <definedName name="BLPH324" hidden="1">#REF!</definedName>
    <definedName name="BLPH325" hidden="1">#REF!</definedName>
    <definedName name="BLPH326" hidden="1">#REF!</definedName>
    <definedName name="BLPH327" hidden="1">#REF!</definedName>
    <definedName name="BLPH328" hidden="1">#REF!</definedName>
    <definedName name="BLPH329" hidden="1">#REF!</definedName>
    <definedName name="BLPH33" hidden="1">'[6]Risk-Free Rate'!$G$15</definedName>
    <definedName name="BLPH330" hidden="1">#REF!</definedName>
    <definedName name="BLPH331" hidden="1">#REF!</definedName>
    <definedName name="BLPH332" hidden="1">#REF!</definedName>
    <definedName name="BLPH333" hidden="1">#REF!</definedName>
    <definedName name="BLPH334" hidden="1">#REF!</definedName>
    <definedName name="BLPH335" hidden="1">#REF!</definedName>
    <definedName name="BLPH336" hidden="1">#REF!</definedName>
    <definedName name="BLPH337" hidden="1">#REF!</definedName>
    <definedName name="BLPH338" hidden="1">#REF!</definedName>
    <definedName name="BLPH339" hidden="1">#REF!</definedName>
    <definedName name="BLPH34" hidden="1">'[6]Risk-Free Rate'!$D$15</definedName>
    <definedName name="BLPH340" hidden="1">#REF!</definedName>
    <definedName name="BLPH341" hidden="1">#REF!</definedName>
    <definedName name="BLPH342" hidden="1">#REF!</definedName>
    <definedName name="BLPH343" hidden="1">#REF!</definedName>
    <definedName name="BLPH344" hidden="1">#REF!</definedName>
    <definedName name="BLPH345" hidden="1">#REF!</definedName>
    <definedName name="BLPH346" hidden="1">#REF!</definedName>
    <definedName name="BLPH347" hidden="1">#REF!</definedName>
    <definedName name="BLPH348" hidden="1">#REF!</definedName>
    <definedName name="BLPH349" hidden="1">#REF!</definedName>
    <definedName name="BLPH35" hidden="1">'[6]Risk-Free Rate'!$A$15</definedName>
    <definedName name="BLPH350" hidden="1">#REF!</definedName>
    <definedName name="BLPH351" hidden="1">#REF!</definedName>
    <definedName name="BLPH352" hidden="1">#REF!</definedName>
    <definedName name="BLPH353" hidden="1">#REF!</definedName>
    <definedName name="BLPH354" hidden="1">#REF!</definedName>
    <definedName name="BLPH355" hidden="1">#REF!</definedName>
    <definedName name="BLPH356" hidden="1">#REF!</definedName>
    <definedName name="BLPH357" hidden="1">#REF!</definedName>
    <definedName name="BLPH358" hidden="1">#REF!</definedName>
    <definedName name="BLPH359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[5]Sheet2!#REF!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#REF!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Combine_Lookup">#REF!</definedName>
    <definedName name="Combine_Valid">'[1]5.8 Decommissioned Sum '!#REF!</definedName>
    <definedName name="Cwvu.CapersView." hidden="1">[4]Sheet1!#REF!</definedName>
    <definedName name="Cwvu.Japan_Capers_Ed_Pub." hidden="1">[4]Sheet1!#REF!</definedName>
    <definedName name="Dia_Valid">'[1]5.8 Decommissioned Sum '!#REF!</definedName>
    <definedName name="Dist_Valid">'[1]5.8 Decommissioned Sum '!#REF!</definedName>
    <definedName name="Driver_Valid">'[1]5.8 Decommissioned Sum '!#REF!</definedName>
    <definedName name="gwge" hidden="1">#REF!</definedName>
    <definedName name="HTML_CodePage" hidden="1">1252</definedName>
    <definedName name="HTML_Description" hidden="1">"DRAFT"</definedName>
    <definedName name="HTML_Email" hidden="1">"Patrick_Blattner@Studio.Disney.com"</definedName>
    <definedName name="HTML_Header" hidden="1">"EXISTING &amp; FUTURE PRODUCTS (CONFIDENTIAL)"</definedName>
    <definedName name="HTML_LastUpdate" hidden="1">"2/8/98"</definedName>
    <definedName name="HTML_LineAfter" hidden="1">FALSE</definedName>
    <definedName name="HTML_LineBefore" hidden="1">TRUE</definedName>
    <definedName name="HTML_Name" hidden="1">"Patrick Blattner"</definedName>
    <definedName name="HTML_OBDlg2" hidden="1">TRUE</definedName>
    <definedName name="HTML_OBDlg4" hidden="1">TRUE</definedName>
    <definedName name="HTML_OS" hidden="1">0</definedName>
    <definedName name="HTML_PathFile" hidden="1">"K:\ANIMATE\SECURE\Production\INTRANET\ANI.HTML.htm"</definedName>
    <definedName name="HTML_Title" hidden="1">"2D ANIMATION PRODUCTION TABLE"</definedName>
    <definedName name="ListOffset" hidden="1">1</definedName>
    <definedName name="Mat__Type_Array">'[1]5.8 Decommissioned Sum '!#REF!</definedName>
    <definedName name="Mat_Type_Row">#REF!</definedName>
    <definedName name="Mat_Valid">'[1]5.8 Decommissioned Sum '!#REF!</definedName>
    <definedName name="Pal_Workbook_GUID" hidden="1">"LJ9YVKRJVQ1A1KNUG7XIT5A9"</definedName>
    <definedName name="Pipe_Length">#REF!</definedName>
    <definedName name="_xlnm.Print_Area" localSheetId="2">'2.4 Safety'!$A$1:$AE$83</definedName>
    <definedName name="_xlnm.Print_Area" localSheetId="5">'2.7 Performance Snapshot'!$A$1:$D$38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wvu.CapersView." hidden="1">#REF!</definedName>
    <definedName name="Rwvu.Japan_Capers_Ed_Pub." hidden="1">#REF!</definedName>
    <definedName name="Rwvu.KJP_CC." hidden="1">#REF!</definedName>
    <definedName name="SAPBEXhrIndnt" hidden="1">"Wide"</definedName>
    <definedName name="SAPBEXrevision" hidden="1">1</definedName>
    <definedName name="SAPBEXsysID" hidden="1">"BWP"</definedName>
    <definedName name="SAPBEXwbID" hidden="1">"3M0Y5JZ0K259IJHR15SO2N9QE"</definedName>
    <definedName name="SAPsysID" hidden="1">"708C5W7SBKP804JT78WJ0JNKI"</definedName>
    <definedName name="SAPwbID" hidden="1">"ARS"</definedName>
    <definedName name="select_GDN_name">'[7]2. Out of area networks'!$L$188:$L$195</definedName>
    <definedName name="Sum_Length">#REF!</definedName>
    <definedName name="Swvu.CapersView." hidden="1">[4]Sheet1!#REF!</definedName>
    <definedName name="Swvu.Japan_Capers_Ed_Pub." hidden="1">#REF!</definedName>
    <definedName name="Swvu.KJP_CC." hidden="1">#REF!</definedName>
    <definedName name="Tier_Lookup">'[1]5.8 Decommissioned Sum '!#REF!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_Valid">'[1]5.8 Decommissioned Sum '!#REF!</definedName>
    <definedName name="Z_19FDD237_8F16_4F3B_A94F_90481855813E_.wvu.PrintArea" localSheetId="2" hidden="1">'2.4 Safety'!$A$1:$AE$83</definedName>
    <definedName name="Z_97003408_5582_4B4E_BE5D_0A5F17467E22_.wvu.PrintArea" localSheetId="2" hidden="1">'2.4 Safety'!$A$1:$AE$83</definedName>
    <definedName name="Z_9A428CE1_B4D9_11D0_A8AA_0000C071AEE7_.wvu.Cols" hidden="1">[4]Sheet1!$A$1:$Q$65536,[4]Sheet1!$Y$1:$Z$65536</definedName>
    <definedName name="Z_9A428CE1_B4D9_11D0_A8AA_0000C071AEE7_.wvu.PrintArea" hidden="1">#REF!</definedName>
    <definedName name="Z_CE066BD8_0FDF_4A69_A83A_AA53661F8FEE_.wvu.PrintArea" localSheetId="2" hidden="1">'2.4 Safety'!$A$1:$AE$83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4" i="6" l="1"/>
  <c r="D30" i="6"/>
  <c r="D29" i="6"/>
  <c r="D28" i="6"/>
  <c r="D27" i="6"/>
  <c r="D25" i="6"/>
  <c r="D22" i="6"/>
  <c r="D21" i="6"/>
  <c r="D19" i="6"/>
  <c r="D18" i="6"/>
  <c r="D17" i="6"/>
  <c r="D16" i="6"/>
  <c r="D13" i="6"/>
  <c r="D10" i="6"/>
  <c r="D11" i="6" s="1"/>
  <c r="D9" i="6"/>
  <c r="D7" i="6"/>
  <c r="D6" i="6"/>
  <c r="A3" i="6"/>
  <c r="A2" i="6"/>
  <c r="A1" i="6"/>
  <c r="B56" i="5"/>
  <c r="F52" i="5"/>
  <c r="E52" i="5"/>
  <c r="C52" i="5"/>
  <c r="B52" i="5"/>
  <c r="I51" i="5"/>
  <c r="H51" i="5"/>
  <c r="G51" i="5"/>
  <c r="F51" i="5"/>
  <c r="E51" i="5"/>
  <c r="D51" i="5"/>
  <c r="C51" i="5"/>
  <c r="B51" i="5"/>
  <c r="Z50" i="5"/>
  <c r="W50" i="5"/>
  <c r="S50" i="5"/>
  <c r="AC50" i="5" s="1"/>
  <c r="Q50" i="5"/>
  <c r="AA50" i="5" s="1"/>
  <c r="P50" i="5"/>
  <c r="M50" i="5"/>
  <c r="E41" i="5"/>
  <c r="H39" i="5"/>
  <c r="R50" i="5" s="1"/>
  <c r="AB50" i="5" s="1"/>
  <c r="G39" i="5"/>
  <c r="F39" i="5"/>
  <c r="E39" i="5"/>
  <c r="O50" i="5" s="1"/>
  <c r="Y50" i="5" s="1"/>
  <c r="D39" i="5"/>
  <c r="N50" i="5" s="1"/>
  <c r="X50" i="5" s="1"/>
  <c r="C39" i="5"/>
  <c r="B39" i="5"/>
  <c r="L50" i="5" s="1"/>
  <c r="V50" i="5" s="1"/>
  <c r="B38" i="5"/>
  <c r="B30" i="5"/>
  <c r="H26" i="5"/>
  <c r="D26" i="5"/>
  <c r="Z25" i="5"/>
  <c r="R25" i="5"/>
  <c r="AB25" i="5" s="1"/>
  <c r="P25" i="5"/>
  <c r="N25" i="5"/>
  <c r="X25" i="5" s="1"/>
  <c r="I25" i="5"/>
  <c r="I26" i="5" s="1"/>
  <c r="H25" i="5"/>
  <c r="G25" i="5"/>
  <c r="G26" i="5" s="1"/>
  <c r="F25" i="5"/>
  <c r="F26" i="5" s="1"/>
  <c r="E25" i="5"/>
  <c r="E26" i="5" s="1"/>
  <c r="D25" i="5"/>
  <c r="C25" i="5"/>
  <c r="C26" i="5" s="1"/>
  <c r="B25" i="5"/>
  <c r="B26" i="5" s="1"/>
  <c r="X24" i="5"/>
  <c r="S24" i="5"/>
  <c r="AC24" i="5" s="1"/>
  <c r="R24" i="5"/>
  <c r="AB24" i="5" s="1"/>
  <c r="P24" i="5"/>
  <c r="Z24" i="5" s="1"/>
  <c r="L24" i="5"/>
  <c r="V24" i="5" s="1"/>
  <c r="H16" i="5"/>
  <c r="F16" i="5"/>
  <c r="D16" i="5"/>
  <c r="I15" i="5"/>
  <c r="F15" i="5"/>
  <c r="D15" i="5"/>
  <c r="H13" i="5"/>
  <c r="H15" i="5" s="1"/>
  <c r="G13" i="5"/>
  <c r="F13" i="5"/>
  <c r="E13" i="5"/>
  <c r="D13" i="5"/>
  <c r="N24" i="5" s="1"/>
  <c r="C13" i="5"/>
  <c r="M24" i="5" s="1"/>
  <c r="W24" i="5" s="1"/>
  <c r="B13" i="5"/>
  <c r="B12" i="5"/>
  <c r="C15" i="5" s="1"/>
  <c r="A3" i="5"/>
  <c r="A2" i="5"/>
  <c r="A1" i="5"/>
  <c r="I126" i="4"/>
  <c r="G126" i="4"/>
  <c r="F126" i="4"/>
  <c r="E126" i="4"/>
  <c r="D126" i="4"/>
  <c r="C126" i="4"/>
  <c r="B126" i="4"/>
  <c r="H125" i="4"/>
  <c r="H124" i="4"/>
  <c r="H123" i="4"/>
  <c r="H126" i="4" s="1"/>
  <c r="H122" i="4"/>
  <c r="H121" i="4"/>
  <c r="I114" i="4"/>
  <c r="H114" i="4"/>
  <c r="G114" i="4"/>
  <c r="F114" i="4"/>
  <c r="E114" i="4"/>
  <c r="D114" i="4"/>
  <c r="C114" i="4"/>
  <c r="B114" i="4"/>
  <c r="AE104" i="4"/>
  <c r="AD104" i="4"/>
  <c r="T104" i="4"/>
  <c r="S104" i="4"/>
  <c r="Q104" i="4"/>
  <c r="AB104" i="4" s="1"/>
  <c r="P104" i="4"/>
  <c r="AA104" i="4" s="1"/>
  <c r="O104" i="4"/>
  <c r="Z104" i="4" s="1"/>
  <c r="J104" i="4"/>
  <c r="X98" i="4"/>
  <c r="T98" i="4"/>
  <c r="AE98" i="4" s="1"/>
  <c r="S98" i="4"/>
  <c r="AD98" i="4" s="1"/>
  <c r="R98" i="4"/>
  <c r="AC98" i="4" s="1"/>
  <c r="Q98" i="4"/>
  <c r="AB98" i="4" s="1"/>
  <c r="J98" i="4"/>
  <c r="G91" i="4"/>
  <c r="R104" i="4" s="1"/>
  <c r="AC104" i="4" s="1"/>
  <c r="F91" i="4"/>
  <c r="E91" i="4"/>
  <c r="P98" i="4" s="1"/>
  <c r="AA98" i="4" s="1"/>
  <c r="D91" i="4"/>
  <c r="O98" i="4" s="1"/>
  <c r="Z98" i="4" s="1"/>
  <c r="C91" i="4"/>
  <c r="N104" i="4" s="1"/>
  <c r="Y104" i="4" s="1"/>
  <c r="B91" i="4"/>
  <c r="M98" i="4" s="1"/>
  <c r="AC81" i="4"/>
  <c r="AB81" i="4"/>
  <c r="T81" i="4"/>
  <c r="AE81" i="4" s="1"/>
  <c r="S81" i="4"/>
  <c r="AD81" i="4" s="1"/>
  <c r="N81" i="4"/>
  <c r="Y81" i="4" s="1"/>
  <c r="J81" i="4"/>
  <c r="AE75" i="4"/>
  <c r="T75" i="4"/>
  <c r="S75" i="4"/>
  <c r="AD75" i="4" s="1"/>
  <c r="R75" i="4"/>
  <c r="AC75" i="4" s="1"/>
  <c r="Q75" i="4"/>
  <c r="AB75" i="4" s="1"/>
  <c r="J75" i="4"/>
  <c r="G68" i="4"/>
  <c r="R81" i="4" s="1"/>
  <c r="F68" i="4"/>
  <c r="Q81" i="4" s="1"/>
  <c r="E68" i="4"/>
  <c r="P81" i="4" s="1"/>
  <c r="AA81" i="4" s="1"/>
  <c r="D68" i="4"/>
  <c r="C68" i="4"/>
  <c r="N75" i="4" s="1"/>
  <c r="Y75" i="4" s="1"/>
  <c r="B68" i="4"/>
  <c r="M75" i="4" s="1"/>
  <c r="X75" i="4" s="1"/>
  <c r="AE50" i="4"/>
  <c r="I50" i="4"/>
  <c r="H50" i="4"/>
  <c r="G50" i="4"/>
  <c r="F50" i="4"/>
  <c r="E50" i="4"/>
  <c r="D50" i="4"/>
  <c r="C50" i="4"/>
  <c r="B50" i="4"/>
  <c r="AB49" i="4"/>
  <c r="AA49" i="4"/>
  <c r="T49" i="4"/>
  <c r="AE49" i="4" s="1"/>
  <c r="R49" i="4"/>
  <c r="AC49" i="4" s="1"/>
  <c r="Q49" i="4"/>
  <c r="P49" i="4"/>
  <c r="J49" i="4"/>
  <c r="AD48" i="4"/>
  <c r="AC48" i="4"/>
  <c r="T48" i="4"/>
  <c r="AE48" i="4" s="1"/>
  <c r="S48" i="4"/>
  <c r="P48" i="4"/>
  <c r="AA48" i="4" s="1"/>
  <c r="J48" i="4"/>
  <c r="I41" i="4"/>
  <c r="T50" i="4" s="1"/>
  <c r="G41" i="4"/>
  <c r="R50" i="4" s="1"/>
  <c r="AC50" i="4" s="1"/>
  <c r="F41" i="4"/>
  <c r="Q50" i="4" s="1"/>
  <c r="AB50" i="4" s="1"/>
  <c r="D41" i="4"/>
  <c r="O50" i="4" s="1"/>
  <c r="Z50" i="4" s="1"/>
  <c r="H40" i="4"/>
  <c r="S49" i="4" s="1"/>
  <c r="AD49" i="4" s="1"/>
  <c r="G40" i="4"/>
  <c r="F40" i="4"/>
  <c r="E40" i="4"/>
  <c r="D40" i="4"/>
  <c r="O49" i="4" s="1"/>
  <c r="Z49" i="4" s="1"/>
  <c r="C40" i="4"/>
  <c r="N49" i="4" s="1"/>
  <c r="Y49" i="4" s="1"/>
  <c r="B40" i="4"/>
  <c r="H39" i="4"/>
  <c r="H41" i="4" s="1"/>
  <c r="S50" i="4" s="1"/>
  <c r="AD50" i="4" s="1"/>
  <c r="G39" i="4"/>
  <c r="R48" i="4" s="1"/>
  <c r="F39" i="4"/>
  <c r="Q48" i="4" s="1"/>
  <c r="AB48" i="4" s="1"/>
  <c r="E39" i="4"/>
  <c r="E41" i="4" s="1"/>
  <c r="D39" i="4"/>
  <c r="O48" i="4" s="1"/>
  <c r="Z48" i="4" s="1"/>
  <c r="C39" i="4"/>
  <c r="B39" i="4"/>
  <c r="M25" i="4"/>
  <c r="X25" i="4" s="1"/>
  <c r="I25" i="4"/>
  <c r="H25" i="4"/>
  <c r="G25" i="4"/>
  <c r="F25" i="4"/>
  <c r="E25" i="4"/>
  <c r="D25" i="4"/>
  <c r="C25" i="4"/>
  <c r="B25" i="4"/>
  <c r="J25" i="4" s="1"/>
  <c r="T24" i="4"/>
  <c r="AE24" i="4" s="1"/>
  <c r="Q24" i="4"/>
  <c r="AB24" i="4" s="1"/>
  <c r="P24" i="4"/>
  <c r="AA24" i="4" s="1"/>
  <c r="M24" i="4"/>
  <c r="X24" i="4" s="1"/>
  <c r="J24" i="4"/>
  <c r="Y23" i="4"/>
  <c r="T23" i="4"/>
  <c r="AE23" i="4" s="1"/>
  <c r="S23" i="4"/>
  <c r="AD23" i="4" s="1"/>
  <c r="P23" i="4"/>
  <c r="AA23" i="4" s="1"/>
  <c r="M23" i="4"/>
  <c r="X23" i="4" s="1"/>
  <c r="J23" i="4"/>
  <c r="I16" i="4"/>
  <c r="T25" i="4" s="1"/>
  <c r="AE25" i="4" s="1"/>
  <c r="B16" i="4"/>
  <c r="H15" i="4"/>
  <c r="S24" i="4" s="1"/>
  <c r="AD24" i="4" s="1"/>
  <c r="G15" i="4"/>
  <c r="R24" i="4" s="1"/>
  <c r="AC24" i="4" s="1"/>
  <c r="F15" i="4"/>
  <c r="E15" i="4"/>
  <c r="D15" i="4"/>
  <c r="O24" i="4" s="1"/>
  <c r="Z24" i="4" s="1"/>
  <c r="C15" i="4"/>
  <c r="N24" i="4" s="1"/>
  <c r="Y24" i="4" s="1"/>
  <c r="B15" i="4"/>
  <c r="H14" i="4"/>
  <c r="H16" i="4" s="1"/>
  <c r="S25" i="4" s="1"/>
  <c r="AD25" i="4" s="1"/>
  <c r="G14" i="4"/>
  <c r="R23" i="4" s="1"/>
  <c r="AC23" i="4" s="1"/>
  <c r="F14" i="4"/>
  <c r="E14" i="4"/>
  <c r="E16" i="4" s="1"/>
  <c r="P25" i="4" s="1"/>
  <c r="AA25" i="4" s="1"/>
  <c r="D14" i="4"/>
  <c r="C14" i="4"/>
  <c r="N23" i="4" s="1"/>
  <c r="B14" i="4"/>
  <c r="A3" i="4"/>
  <c r="A2" i="4"/>
  <c r="A1" i="4"/>
  <c r="I83" i="3"/>
  <c r="G83" i="3"/>
  <c r="H82" i="3" s="1"/>
  <c r="H83" i="3" s="1"/>
  <c r="F83" i="3"/>
  <c r="E83" i="3"/>
  <c r="B83" i="3"/>
  <c r="C83" i="3" s="1"/>
  <c r="D83" i="3" s="1"/>
  <c r="H76" i="3"/>
  <c r="H71" i="3"/>
  <c r="H70" i="3"/>
  <c r="H64" i="3"/>
  <c r="H63" i="3"/>
  <c r="H62" i="3"/>
  <c r="H59" i="3"/>
  <c r="H58" i="3"/>
  <c r="H57" i="3"/>
  <c r="H54" i="3"/>
  <c r="S48" i="3"/>
  <c r="R48" i="3"/>
  <c r="AC47" i="3"/>
  <c r="AB47" i="3"/>
  <c r="Y47" i="3"/>
  <c r="X47" i="3"/>
  <c r="V47" i="3"/>
  <c r="S47" i="3"/>
  <c r="R47" i="3"/>
  <c r="O47" i="3"/>
  <c r="L47" i="3"/>
  <c r="I40" i="3"/>
  <c r="H40" i="3"/>
  <c r="E40" i="3"/>
  <c r="O48" i="3" s="1"/>
  <c r="D40" i="3"/>
  <c r="N48" i="3" s="1"/>
  <c r="B40" i="3"/>
  <c r="L48" i="3" s="1"/>
  <c r="H39" i="3"/>
  <c r="G39" i="3"/>
  <c r="F39" i="3"/>
  <c r="Z47" i="3" s="1"/>
  <c r="E39" i="3"/>
  <c r="D39" i="3"/>
  <c r="N47" i="3" s="1"/>
  <c r="C39" i="3"/>
  <c r="B39" i="3"/>
  <c r="V30" i="3"/>
  <c r="L25" i="3"/>
  <c r="B25" i="3"/>
  <c r="C25" i="3" s="1"/>
  <c r="D25" i="3" s="1"/>
  <c r="E25" i="3" s="1"/>
  <c r="F25" i="3" s="1"/>
  <c r="G25" i="3" s="1"/>
  <c r="H25" i="3" s="1"/>
  <c r="I25" i="3" s="1"/>
  <c r="I24" i="3"/>
  <c r="H24" i="3"/>
  <c r="G24" i="3"/>
  <c r="F24" i="3"/>
  <c r="E24" i="3"/>
  <c r="D24" i="3"/>
  <c r="C24" i="3"/>
  <c r="B24" i="3"/>
  <c r="AC23" i="3"/>
  <c r="AB23" i="3"/>
  <c r="Z23" i="3"/>
  <c r="Y23" i="3"/>
  <c r="V23" i="3"/>
  <c r="S23" i="3"/>
  <c r="R23" i="3"/>
  <c r="P23" i="3"/>
  <c r="O23" i="3"/>
  <c r="M23" i="3"/>
  <c r="L23" i="3"/>
  <c r="B15" i="3"/>
  <c r="E14" i="3"/>
  <c r="F12" i="3" s="1"/>
  <c r="F14" i="3" s="1"/>
  <c r="G12" i="3" s="1"/>
  <c r="G14" i="3" s="1"/>
  <c r="C14" i="3"/>
  <c r="B14" i="3"/>
  <c r="G13" i="3"/>
  <c r="F13" i="3"/>
  <c r="E13" i="3"/>
  <c r="D13" i="3"/>
  <c r="C13" i="3"/>
  <c r="C15" i="3" s="1"/>
  <c r="B13" i="3"/>
  <c r="H12" i="3"/>
  <c r="H14" i="3" s="1"/>
  <c r="I12" i="3" s="1"/>
  <c r="I14" i="3" s="1"/>
  <c r="D12" i="3"/>
  <c r="D14" i="3" s="1"/>
  <c r="E12" i="3" s="1"/>
  <c r="C12" i="3"/>
  <c r="B12" i="3"/>
  <c r="A3" i="3"/>
  <c r="A2" i="3"/>
  <c r="A1" i="3"/>
  <c r="AH92" i="2"/>
  <c r="V92" i="2"/>
  <c r="U92" i="2"/>
  <c r="S92" i="2"/>
  <c r="AH91" i="2"/>
  <c r="AD91" i="2"/>
  <c r="AA91" i="2"/>
  <c r="V91" i="2"/>
  <c r="S91" i="2"/>
  <c r="AH90" i="2"/>
  <c r="AG90" i="2"/>
  <c r="V90" i="2"/>
  <c r="U90" i="2"/>
  <c r="AH89" i="2"/>
  <c r="AG89" i="2"/>
  <c r="V89" i="2"/>
  <c r="S89" i="2"/>
  <c r="Q89" i="2"/>
  <c r="P89" i="2"/>
  <c r="O89" i="2"/>
  <c r="AH88" i="2"/>
  <c r="AA88" i="2"/>
  <c r="V88" i="2"/>
  <c r="R88" i="2"/>
  <c r="AH87" i="2"/>
  <c r="AA87" i="2"/>
  <c r="V87" i="2"/>
  <c r="O87" i="2"/>
  <c r="AH86" i="2"/>
  <c r="AG86" i="2"/>
  <c r="V86" i="2"/>
  <c r="U86" i="2"/>
  <c r="T86" i="2"/>
  <c r="R86" i="2"/>
  <c r="Q86" i="2"/>
  <c r="AH83" i="2"/>
  <c r="AA83" i="2"/>
  <c r="V83" i="2"/>
  <c r="T83" i="2"/>
  <c r="S83" i="2"/>
  <c r="AH82" i="2"/>
  <c r="AG82" i="2"/>
  <c r="V82" i="2"/>
  <c r="S82" i="2"/>
  <c r="R82" i="2"/>
  <c r="Q82" i="2"/>
  <c r="P82" i="2"/>
  <c r="AH81" i="2"/>
  <c r="AA81" i="2"/>
  <c r="V81" i="2"/>
  <c r="P81" i="2"/>
  <c r="O81" i="2"/>
  <c r="AH80" i="2"/>
  <c r="AG80" i="2"/>
  <c r="V80" i="2"/>
  <c r="U80" i="2"/>
  <c r="Q80" i="2"/>
  <c r="AH79" i="2"/>
  <c r="AA79" i="2"/>
  <c r="V79" i="2"/>
  <c r="P79" i="2"/>
  <c r="O79" i="2"/>
  <c r="AH78" i="2"/>
  <c r="AG78" i="2"/>
  <c r="AA78" i="2"/>
  <c r="V78" i="2"/>
  <c r="S78" i="2"/>
  <c r="AH77" i="2"/>
  <c r="AA77" i="2"/>
  <c r="V77" i="2"/>
  <c r="T77" i="2"/>
  <c r="R77" i="2"/>
  <c r="O77" i="2"/>
  <c r="AH76" i="2"/>
  <c r="V76" i="2"/>
  <c r="U76" i="2"/>
  <c r="AI73" i="2"/>
  <c r="AH72" i="2"/>
  <c r="AG72" i="2"/>
  <c r="AF72" i="2"/>
  <c r="AA72" i="2"/>
  <c r="V72" i="2"/>
  <c r="U72" i="2"/>
  <c r="O72" i="2"/>
  <c r="AH71" i="2"/>
  <c r="AG71" i="2"/>
  <c r="AE71" i="2"/>
  <c r="AA71" i="2"/>
  <c r="V71" i="2"/>
  <c r="O71" i="2"/>
  <c r="AH63" i="2"/>
  <c r="AG63" i="2"/>
  <c r="AF63" i="2"/>
  <c r="AB63" i="2"/>
  <c r="AA63" i="2"/>
  <c r="V63" i="2"/>
  <c r="U63" i="2"/>
  <c r="T63" i="2"/>
  <c r="P63" i="2"/>
  <c r="K63" i="2"/>
  <c r="AH62" i="2"/>
  <c r="AG62" i="2"/>
  <c r="AB62" i="2"/>
  <c r="AA62" i="2"/>
  <c r="V62" i="2"/>
  <c r="U62" i="2"/>
  <c r="P62" i="2"/>
  <c r="O62" i="2"/>
  <c r="K62" i="2"/>
  <c r="AH61" i="2"/>
  <c r="AC61" i="2"/>
  <c r="AB61" i="2"/>
  <c r="AA61" i="2"/>
  <c r="V61" i="2"/>
  <c r="O61" i="2"/>
  <c r="K61" i="2"/>
  <c r="AH60" i="2"/>
  <c r="AC60" i="2"/>
  <c r="V60" i="2"/>
  <c r="R60" i="2"/>
  <c r="Q60" i="2"/>
  <c r="O60" i="2"/>
  <c r="K60" i="2"/>
  <c r="AH59" i="2"/>
  <c r="AB59" i="2"/>
  <c r="AA59" i="2"/>
  <c r="V59" i="2"/>
  <c r="R59" i="2"/>
  <c r="O59" i="2"/>
  <c r="K59" i="2"/>
  <c r="AH58" i="2"/>
  <c r="AE58" i="2"/>
  <c r="AD58" i="2"/>
  <c r="AC58" i="2"/>
  <c r="AA58" i="2"/>
  <c r="V58" i="2"/>
  <c r="T58" i="2"/>
  <c r="S58" i="2"/>
  <c r="R58" i="2"/>
  <c r="K58" i="2"/>
  <c r="AH57" i="2"/>
  <c r="AG57" i="2"/>
  <c r="AE57" i="2"/>
  <c r="AD57" i="2"/>
  <c r="V57" i="2"/>
  <c r="U57" i="2"/>
  <c r="R57" i="2"/>
  <c r="K57" i="2"/>
  <c r="AH54" i="2"/>
  <c r="AG54" i="2"/>
  <c r="AF54" i="2"/>
  <c r="V54" i="2"/>
  <c r="U54" i="2"/>
  <c r="S54" i="2"/>
  <c r="R54" i="2"/>
  <c r="K54" i="2"/>
  <c r="AI54" i="2" s="1"/>
  <c r="AH53" i="2"/>
  <c r="AG53" i="2"/>
  <c r="AB53" i="2"/>
  <c r="AA53" i="2"/>
  <c r="V53" i="2"/>
  <c r="U53" i="2"/>
  <c r="T53" i="2"/>
  <c r="P53" i="2"/>
  <c r="K53" i="2"/>
  <c r="AH52" i="2"/>
  <c r="AG52" i="2"/>
  <c r="AB52" i="2"/>
  <c r="AA52" i="2"/>
  <c r="V52" i="2"/>
  <c r="U52" i="2"/>
  <c r="P52" i="2"/>
  <c r="O52" i="2"/>
  <c r="K52" i="2"/>
  <c r="AH51" i="2"/>
  <c r="AC51" i="2"/>
  <c r="AA51" i="2"/>
  <c r="V51" i="2"/>
  <c r="O51" i="2"/>
  <c r="K51" i="2"/>
  <c r="AH50" i="2"/>
  <c r="AB50" i="2"/>
  <c r="V50" i="2"/>
  <c r="Q50" i="2"/>
  <c r="O50" i="2"/>
  <c r="K50" i="2"/>
  <c r="AH49" i="2"/>
  <c r="AE49" i="2"/>
  <c r="AA49" i="2"/>
  <c r="V49" i="2"/>
  <c r="Q49" i="2"/>
  <c r="P49" i="2"/>
  <c r="O49" i="2"/>
  <c r="K49" i="2"/>
  <c r="AH48" i="2"/>
  <c r="AE48" i="2"/>
  <c r="AA48" i="2"/>
  <c r="V48" i="2"/>
  <c r="T48" i="2"/>
  <c r="S48" i="2"/>
  <c r="K48" i="2"/>
  <c r="AH47" i="2"/>
  <c r="AG47" i="2"/>
  <c r="AE47" i="2"/>
  <c r="AD47" i="2"/>
  <c r="V47" i="2"/>
  <c r="U47" i="2"/>
  <c r="T47" i="2"/>
  <c r="S47" i="2"/>
  <c r="R47" i="2"/>
  <c r="K47" i="2"/>
  <c r="AH44" i="2"/>
  <c r="AG44" i="2"/>
  <c r="AD44" i="2"/>
  <c r="W44" i="2"/>
  <c r="V44" i="2"/>
  <c r="U44" i="2"/>
  <c r="K44" i="2"/>
  <c r="AH43" i="2"/>
  <c r="AG43" i="2"/>
  <c r="AF43" i="2"/>
  <c r="AB43" i="2"/>
  <c r="AA43" i="2"/>
  <c r="V43" i="2"/>
  <c r="U43" i="2"/>
  <c r="P43" i="2"/>
  <c r="O43" i="2"/>
  <c r="K43" i="2"/>
  <c r="AH42" i="2"/>
  <c r="AB42" i="2"/>
  <c r="AA42" i="2"/>
  <c r="V42" i="2"/>
  <c r="S42" i="2"/>
  <c r="R42" i="2"/>
  <c r="O42" i="2"/>
  <c r="K42" i="2"/>
  <c r="I34" i="2"/>
  <c r="AG92" i="2" s="1"/>
  <c r="H34" i="2"/>
  <c r="G34" i="2"/>
  <c r="F34" i="2"/>
  <c r="E34" i="2"/>
  <c r="Q92" i="2" s="1"/>
  <c r="D34" i="2"/>
  <c r="C34" i="2"/>
  <c r="I33" i="2"/>
  <c r="H33" i="2"/>
  <c r="G33" i="2"/>
  <c r="F33" i="2"/>
  <c r="E33" i="2"/>
  <c r="D33" i="2"/>
  <c r="C33" i="2"/>
  <c r="O91" i="2" s="1"/>
  <c r="I32" i="2"/>
  <c r="U61" i="2" s="1"/>
  <c r="H32" i="2"/>
  <c r="G32" i="2"/>
  <c r="F32" i="2"/>
  <c r="E32" i="2"/>
  <c r="D32" i="2"/>
  <c r="C32" i="2"/>
  <c r="I31" i="2"/>
  <c r="U89" i="2" s="1"/>
  <c r="H31" i="2"/>
  <c r="G31" i="2"/>
  <c r="F31" i="2"/>
  <c r="E31" i="2"/>
  <c r="AC89" i="2" s="1"/>
  <c r="D31" i="2"/>
  <c r="C31" i="2"/>
  <c r="AA60" i="2" s="1"/>
  <c r="I30" i="2"/>
  <c r="H30" i="2"/>
  <c r="G30" i="2"/>
  <c r="F30" i="2"/>
  <c r="E30" i="2"/>
  <c r="D30" i="2"/>
  <c r="C30" i="2"/>
  <c r="O88" i="2" s="1"/>
  <c r="I29" i="2"/>
  <c r="H29" i="2"/>
  <c r="G29" i="2"/>
  <c r="F29" i="2"/>
  <c r="E29" i="2"/>
  <c r="D29" i="2"/>
  <c r="P58" i="2" s="1"/>
  <c r="C29" i="2"/>
  <c r="O58" i="2" s="1"/>
  <c r="I28" i="2"/>
  <c r="H28" i="2"/>
  <c r="G28" i="2"/>
  <c r="S57" i="2" s="1"/>
  <c r="F28" i="2"/>
  <c r="AD86" i="2" s="1"/>
  <c r="E28" i="2"/>
  <c r="D28" i="2"/>
  <c r="C28" i="2"/>
  <c r="AA57" i="2" s="1"/>
  <c r="I25" i="2"/>
  <c r="U83" i="2" s="1"/>
  <c r="H25" i="2"/>
  <c r="G25" i="2"/>
  <c r="F25" i="2"/>
  <c r="E25" i="2"/>
  <c r="D25" i="2"/>
  <c r="C25" i="2"/>
  <c r="K25" i="2" s="1"/>
  <c r="I24" i="2"/>
  <c r="H24" i="2"/>
  <c r="G24" i="2"/>
  <c r="F24" i="2"/>
  <c r="E24" i="2"/>
  <c r="D24" i="2"/>
  <c r="AB82" i="2" s="1"/>
  <c r="C24" i="2"/>
  <c r="I23" i="2"/>
  <c r="AG81" i="2" s="1"/>
  <c r="H23" i="2"/>
  <c r="G23" i="2"/>
  <c r="F23" i="2"/>
  <c r="E23" i="2"/>
  <c r="D23" i="2"/>
  <c r="AB81" i="2" s="1"/>
  <c r="C23" i="2"/>
  <c r="I22" i="2"/>
  <c r="U51" i="2" s="1"/>
  <c r="H22" i="2"/>
  <c r="G22" i="2"/>
  <c r="F22" i="2"/>
  <c r="R80" i="2" s="1"/>
  <c r="E22" i="2"/>
  <c r="AC80" i="2" s="1"/>
  <c r="D22" i="2"/>
  <c r="C22" i="2"/>
  <c r="I21" i="2"/>
  <c r="U79" i="2" s="1"/>
  <c r="H21" i="2"/>
  <c r="G21" i="2"/>
  <c r="F21" i="2"/>
  <c r="E21" i="2"/>
  <c r="D21" i="2"/>
  <c r="C21" i="2"/>
  <c r="AA50" i="2" s="1"/>
  <c r="I20" i="2"/>
  <c r="U78" i="2" s="1"/>
  <c r="H20" i="2"/>
  <c r="G20" i="2"/>
  <c r="F20" i="2"/>
  <c r="E20" i="2"/>
  <c r="AC49" i="2" s="1"/>
  <c r="D20" i="2"/>
  <c r="C20" i="2"/>
  <c r="O78" i="2" s="1"/>
  <c r="I19" i="2"/>
  <c r="H19" i="2"/>
  <c r="AF48" i="2" s="1"/>
  <c r="G19" i="2"/>
  <c r="F19" i="2"/>
  <c r="R48" i="2" s="1"/>
  <c r="E19" i="2"/>
  <c r="D19" i="2"/>
  <c r="P77" i="2" s="1"/>
  <c r="C19" i="2"/>
  <c r="O48" i="2" s="1"/>
  <c r="I18" i="2"/>
  <c r="AG76" i="2" s="1"/>
  <c r="H18" i="2"/>
  <c r="AF76" i="2" s="1"/>
  <c r="G18" i="2"/>
  <c r="F18" i="2"/>
  <c r="E18" i="2"/>
  <c r="D18" i="2"/>
  <c r="C18" i="2"/>
  <c r="AA76" i="2" s="1"/>
  <c r="I15" i="2"/>
  <c r="H15" i="2"/>
  <c r="G15" i="2"/>
  <c r="AE44" i="2" s="1"/>
  <c r="F15" i="2"/>
  <c r="R44" i="2" s="1"/>
  <c r="E15" i="2"/>
  <c r="D15" i="2"/>
  <c r="C15" i="2"/>
  <c r="K15" i="2" s="1"/>
  <c r="AI44" i="2" s="1"/>
  <c r="I14" i="2"/>
  <c r="H14" i="2"/>
  <c r="G14" i="2"/>
  <c r="F14" i="2"/>
  <c r="E14" i="2"/>
  <c r="D14" i="2"/>
  <c r="C14" i="2"/>
  <c r="I13" i="2"/>
  <c r="U71" i="2" s="1"/>
  <c r="H13" i="2"/>
  <c r="G13" i="2"/>
  <c r="F13" i="2"/>
  <c r="E13" i="2"/>
  <c r="D13" i="2"/>
  <c r="P42" i="2" s="1"/>
  <c r="C13" i="2"/>
  <c r="A3" i="2"/>
  <c r="A2" i="2"/>
  <c r="A1" i="2"/>
  <c r="J235" i="1"/>
  <c r="I235" i="1"/>
  <c r="H235" i="1"/>
  <c r="G235" i="1"/>
  <c r="F235" i="1"/>
  <c r="E235" i="1"/>
  <c r="D235" i="1"/>
  <c r="C235" i="1"/>
  <c r="B235" i="1"/>
  <c r="D145" i="1"/>
  <c r="C145" i="1"/>
  <c r="E144" i="1"/>
  <c r="E145" i="1" s="1"/>
  <c r="R143" i="1"/>
  <c r="AC143" i="1" s="1"/>
  <c r="J143" i="1"/>
  <c r="I143" i="1"/>
  <c r="H143" i="1"/>
  <c r="G143" i="1"/>
  <c r="F143" i="1"/>
  <c r="F144" i="1" s="1"/>
  <c r="F145" i="1" s="1"/>
  <c r="E143" i="1"/>
  <c r="D143" i="1"/>
  <c r="D144" i="1" s="1"/>
  <c r="C143" i="1"/>
  <c r="C144" i="1" s="1"/>
  <c r="B143" i="1"/>
  <c r="AD142" i="1"/>
  <c r="AC142" i="1"/>
  <c r="S142" i="1"/>
  <c r="N142" i="1"/>
  <c r="Y142" i="1" s="1"/>
  <c r="J142" i="1"/>
  <c r="I142" i="1"/>
  <c r="T142" i="1" s="1"/>
  <c r="AE142" i="1" s="1"/>
  <c r="H142" i="1"/>
  <c r="G142" i="1"/>
  <c r="F142" i="1"/>
  <c r="Q142" i="1" s="1"/>
  <c r="AB142" i="1" s="1"/>
  <c r="E142" i="1"/>
  <c r="P142" i="1" s="1"/>
  <c r="AA142" i="1" s="1"/>
  <c r="D142" i="1"/>
  <c r="O142" i="1" s="1"/>
  <c r="Z142" i="1" s="1"/>
  <c r="C142" i="1"/>
  <c r="B142" i="1"/>
  <c r="S141" i="1"/>
  <c r="AD141" i="1" s="1"/>
  <c r="R141" i="1"/>
  <c r="AC141" i="1" s="1"/>
  <c r="Q141" i="1"/>
  <c r="AB141" i="1" s="1"/>
  <c r="J141" i="1"/>
  <c r="I141" i="1"/>
  <c r="T141" i="1" s="1"/>
  <c r="AE141" i="1" s="1"/>
  <c r="H141" i="1"/>
  <c r="G141" i="1"/>
  <c r="F141" i="1"/>
  <c r="E141" i="1"/>
  <c r="D141" i="1"/>
  <c r="C141" i="1"/>
  <c r="B141" i="1"/>
  <c r="Q140" i="1"/>
  <c r="AB140" i="1" s="1"/>
  <c r="O140" i="1"/>
  <c r="Z140" i="1" s="1"/>
  <c r="J140" i="1"/>
  <c r="I140" i="1"/>
  <c r="T140" i="1" s="1"/>
  <c r="AE140" i="1" s="1"/>
  <c r="H140" i="1"/>
  <c r="G140" i="1"/>
  <c r="F140" i="1"/>
  <c r="E140" i="1"/>
  <c r="D140" i="1"/>
  <c r="C140" i="1"/>
  <c r="B140" i="1"/>
  <c r="T139" i="1"/>
  <c r="AE139" i="1" s="1"/>
  <c r="R139" i="1"/>
  <c r="AC139" i="1" s="1"/>
  <c r="Q139" i="1"/>
  <c r="AB139" i="1" s="1"/>
  <c r="P139" i="1"/>
  <c r="AA139" i="1" s="1"/>
  <c r="J139" i="1"/>
  <c r="I139" i="1"/>
  <c r="H139" i="1"/>
  <c r="G139" i="1"/>
  <c r="F139" i="1"/>
  <c r="E139" i="1"/>
  <c r="D139" i="1"/>
  <c r="C139" i="1"/>
  <c r="B139" i="1"/>
  <c r="J137" i="1"/>
  <c r="I137" i="1"/>
  <c r="H137" i="1"/>
  <c r="H144" i="1" s="1"/>
  <c r="H145" i="1" s="1"/>
  <c r="G137" i="1"/>
  <c r="G144" i="1" s="1"/>
  <c r="G145" i="1" s="1"/>
  <c r="F137" i="1"/>
  <c r="E137" i="1"/>
  <c r="D137" i="1"/>
  <c r="C137" i="1"/>
  <c r="B137" i="1"/>
  <c r="AF136" i="1"/>
  <c r="AE136" i="1"/>
  <c r="AD136" i="1"/>
  <c r="R136" i="1"/>
  <c r="AC136" i="1" s="1"/>
  <c r="J136" i="1"/>
  <c r="U136" i="1" s="1"/>
  <c r="I136" i="1"/>
  <c r="T136" i="1" s="1"/>
  <c r="H136" i="1"/>
  <c r="S136" i="1" s="1"/>
  <c r="G136" i="1"/>
  <c r="F136" i="1"/>
  <c r="E136" i="1"/>
  <c r="D136" i="1"/>
  <c r="C136" i="1"/>
  <c r="B136" i="1"/>
  <c r="J135" i="1"/>
  <c r="I135" i="1"/>
  <c r="H135" i="1"/>
  <c r="G135" i="1"/>
  <c r="F135" i="1"/>
  <c r="E135" i="1"/>
  <c r="D135" i="1"/>
  <c r="C135" i="1"/>
  <c r="B135" i="1"/>
  <c r="J134" i="1"/>
  <c r="I134" i="1"/>
  <c r="T134" i="1" s="1"/>
  <c r="AE134" i="1" s="1"/>
  <c r="H134" i="1"/>
  <c r="G134" i="1"/>
  <c r="F134" i="1"/>
  <c r="E134" i="1"/>
  <c r="D134" i="1"/>
  <c r="C134" i="1"/>
  <c r="B134" i="1"/>
  <c r="J133" i="1"/>
  <c r="I133" i="1"/>
  <c r="T133" i="1" s="1"/>
  <c r="AE133" i="1" s="1"/>
  <c r="H133" i="1"/>
  <c r="G133" i="1"/>
  <c r="F133" i="1"/>
  <c r="E133" i="1"/>
  <c r="D133" i="1"/>
  <c r="C133" i="1"/>
  <c r="B133" i="1"/>
  <c r="M133" i="1" s="1"/>
  <c r="X133" i="1" s="1"/>
  <c r="X132" i="1"/>
  <c r="J132" i="1"/>
  <c r="I132" i="1"/>
  <c r="T132" i="1" s="1"/>
  <c r="AE132" i="1" s="1"/>
  <c r="H132" i="1"/>
  <c r="G132" i="1"/>
  <c r="F132" i="1"/>
  <c r="Q132" i="1" s="1"/>
  <c r="AB132" i="1" s="1"/>
  <c r="E132" i="1"/>
  <c r="P132" i="1" s="1"/>
  <c r="AA132" i="1" s="1"/>
  <c r="D132" i="1"/>
  <c r="O132" i="1" s="1"/>
  <c r="Z132" i="1" s="1"/>
  <c r="C132" i="1"/>
  <c r="B132" i="1"/>
  <c r="R131" i="1"/>
  <c r="AC131" i="1" s="1"/>
  <c r="Q131" i="1"/>
  <c r="AB131" i="1" s="1"/>
  <c r="J131" i="1"/>
  <c r="I131" i="1"/>
  <c r="H131" i="1"/>
  <c r="G131" i="1"/>
  <c r="F131" i="1"/>
  <c r="E131" i="1"/>
  <c r="D131" i="1"/>
  <c r="C131" i="1"/>
  <c r="B131" i="1"/>
  <c r="T130" i="1"/>
  <c r="AE130" i="1" s="1"/>
  <c r="N130" i="1"/>
  <c r="Y130" i="1" s="1"/>
  <c r="J130" i="1"/>
  <c r="I130" i="1"/>
  <c r="H130" i="1"/>
  <c r="G130" i="1"/>
  <c r="F130" i="1"/>
  <c r="Q130" i="1" s="1"/>
  <c r="AB130" i="1" s="1"/>
  <c r="E130" i="1"/>
  <c r="P130" i="1" s="1"/>
  <c r="AA130" i="1" s="1"/>
  <c r="D130" i="1"/>
  <c r="O130" i="1" s="1"/>
  <c r="Z130" i="1" s="1"/>
  <c r="C130" i="1"/>
  <c r="B130" i="1"/>
  <c r="T129" i="1"/>
  <c r="AE129" i="1" s="1"/>
  <c r="S129" i="1"/>
  <c r="AD129" i="1" s="1"/>
  <c r="O129" i="1"/>
  <c r="Z129" i="1" s="1"/>
  <c r="J129" i="1"/>
  <c r="I129" i="1"/>
  <c r="H129" i="1"/>
  <c r="G129" i="1"/>
  <c r="F129" i="1"/>
  <c r="E129" i="1"/>
  <c r="D129" i="1"/>
  <c r="C129" i="1"/>
  <c r="B129" i="1"/>
  <c r="J128" i="1"/>
  <c r="I128" i="1"/>
  <c r="T128" i="1" s="1"/>
  <c r="H128" i="1"/>
  <c r="S128" i="1" s="1"/>
  <c r="G128" i="1"/>
  <c r="F128" i="1"/>
  <c r="E128" i="1"/>
  <c r="D128" i="1"/>
  <c r="C128" i="1"/>
  <c r="B128" i="1"/>
  <c r="AE127" i="1"/>
  <c r="T127" i="1"/>
  <c r="R127" i="1"/>
  <c r="AC127" i="1" s="1"/>
  <c r="Q127" i="1"/>
  <c r="AB127" i="1" s="1"/>
  <c r="P127" i="1"/>
  <c r="AA127" i="1" s="1"/>
  <c r="M127" i="1"/>
  <c r="X127" i="1" s="1"/>
  <c r="J127" i="1"/>
  <c r="I127" i="1"/>
  <c r="H127" i="1"/>
  <c r="G127" i="1"/>
  <c r="F127" i="1"/>
  <c r="E127" i="1"/>
  <c r="D127" i="1"/>
  <c r="C127" i="1"/>
  <c r="B127" i="1"/>
  <c r="AC126" i="1"/>
  <c r="J126" i="1"/>
  <c r="I126" i="1"/>
  <c r="T126" i="1" s="1"/>
  <c r="AE126" i="1" s="1"/>
  <c r="H126" i="1"/>
  <c r="G126" i="1"/>
  <c r="F126" i="1"/>
  <c r="E126" i="1"/>
  <c r="D126" i="1"/>
  <c r="C126" i="1"/>
  <c r="B126" i="1"/>
  <c r="M126" i="1" s="1"/>
  <c r="X126" i="1" s="1"/>
  <c r="S125" i="1"/>
  <c r="AD125" i="1" s="1"/>
  <c r="R125" i="1"/>
  <c r="AC125" i="1" s="1"/>
  <c r="J125" i="1"/>
  <c r="I125" i="1"/>
  <c r="T125" i="1" s="1"/>
  <c r="AE125" i="1" s="1"/>
  <c r="H125" i="1"/>
  <c r="G125" i="1"/>
  <c r="F125" i="1"/>
  <c r="E125" i="1"/>
  <c r="D125" i="1"/>
  <c r="C125" i="1"/>
  <c r="B125" i="1"/>
  <c r="S124" i="1"/>
  <c r="AD124" i="1" s="1"/>
  <c r="R124" i="1"/>
  <c r="AC124" i="1" s="1"/>
  <c r="Q124" i="1"/>
  <c r="AB124" i="1" s="1"/>
  <c r="O124" i="1"/>
  <c r="Z124" i="1" s="1"/>
  <c r="J124" i="1"/>
  <c r="I124" i="1"/>
  <c r="T124" i="1" s="1"/>
  <c r="AE124" i="1" s="1"/>
  <c r="H124" i="1"/>
  <c r="G124" i="1"/>
  <c r="F124" i="1"/>
  <c r="E124" i="1"/>
  <c r="D124" i="1"/>
  <c r="C124" i="1"/>
  <c r="B124" i="1"/>
  <c r="T123" i="1"/>
  <c r="AE123" i="1" s="1"/>
  <c r="J123" i="1"/>
  <c r="I123" i="1"/>
  <c r="H123" i="1"/>
  <c r="G123" i="1"/>
  <c r="F123" i="1"/>
  <c r="E123" i="1"/>
  <c r="D123" i="1"/>
  <c r="C123" i="1"/>
  <c r="B123" i="1"/>
  <c r="T122" i="1"/>
  <c r="R122" i="1"/>
  <c r="N122" i="1"/>
  <c r="J122" i="1"/>
  <c r="I122" i="1"/>
  <c r="H122" i="1"/>
  <c r="G122" i="1"/>
  <c r="F122" i="1"/>
  <c r="E122" i="1"/>
  <c r="P122" i="1" s="1"/>
  <c r="D122" i="1"/>
  <c r="O122" i="1" s="1"/>
  <c r="C122" i="1"/>
  <c r="B122" i="1"/>
  <c r="T121" i="1"/>
  <c r="R121" i="1"/>
  <c r="Q121" i="1"/>
  <c r="P121" i="1"/>
  <c r="O121" i="1"/>
  <c r="J121" i="1"/>
  <c r="I121" i="1"/>
  <c r="H121" i="1"/>
  <c r="G121" i="1"/>
  <c r="F121" i="1"/>
  <c r="E121" i="1"/>
  <c r="D121" i="1"/>
  <c r="C121" i="1"/>
  <c r="B121" i="1"/>
  <c r="Z120" i="1"/>
  <c r="O120" i="1"/>
  <c r="J120" i="1"/>
  <c r="I120" i="1"/>
  <c r="T120" i="1" s="1"/>
  <c r="AE120" i="1" s="1"/>
  <c r="H120" i="1"/>
  <c r="G120" i="1"/>
  <c r="R120" i="1" s="1"/>
  <c r="AC120" i="1" s="1"/>
  <c r="F120" i="1"/>
  <c r="Q120" i="1" s="1"/>
  <c r="AB120" i="1" s="1"/>
  <c r="E120" i="1"/>
  <c r="P120" i="1" s="1"/>
  <c r="AA120" i="1" s="1"/>
  <c r="D120" i="1"/>
  <c r="C120" i="1"/>
  <c r="B120" i="1"/>
  <c r="J119" i="1"/>
  <c r="I119" i="1"/>
  <c r="H119" i="1"/>
  <c r="G119" i="1"/>
  <c r="F119" i="1"/>
  <c r="E119" i="1"/>
  <c r="D119" i="1"/>
  <c r="C119" i="1"/>
  <c r="B119" i="1"/>
  <c r="N118" i="1"/>
  <c r="Y118" i="1" s="1"/>
  <c r="J118" i="1"/>
  <c r="I118" i="1"/>
  <c r="T118" i="1" s="1"/>
  <c r="AE118" i="1" s="1"/>
  <c r="H118" i="1"/>
  <c r="G118" i="1"/>
  <c r="F118" i="1"/>
  <c r="E118" i="1"/>
  <c r="P118" i="1" s="1"/>
  <c r="AA118" i="1" s="1"/>
  <c r="D118" i="1"/>
  <c r="O118" i="1" s="1"/>
  <c r="Z118" i="1" s="1"/>
  <c r="C118" i="1"/>
  <c r="B118" i="1"/>
  <c r="P117" i="1"/>
  <c r="AA117" i="1" s="1"/>
  <c r="J117" i="1"/>
  <c r="I117" i="1"/>
  <c r="T117" i="1" s="1"/>
  <c r="AE117" i="1" s="1"/>
  <c r="H117" i="1"/>
  <c r="G117" i="1"/>
  <c r="F117" i="1"/>
  <c r="E117" i="1"/>
  <c r="D117" i="1"/>
  <c r="C117" i="1"/>
  <c r="B117" i="1"/>
  <c r="M117" i="1" s="1"/>
  <c r="X117" i="1" s="1"/>
  <c r="T116" i="1"/>
  <c r="AE116" i="1" s="1"/>
  <c r="J116" i="1"/>
  <c r="I116" i="1"/>
  <c r="H116" i="1"/>
  <c r="G116" i="1"/>
  <c r="F116" i="1"/>
  <c r="E116" i="1"/>
  <c r="D116" i="1"/>
  <c r="C116" i="1"/>
  <c r="B116" i="1"/>
  <c r="M116" i="1" s="1"/>
  <c r="X116" i="1" s="1"/>
  <c r="T115" i="1"/>
  <c r="AE115" i="1" s="1"/>
  <c r="Q115" i="1"/>
  <c r="AB115" i="1" s="1"/>
  <c r="J115" i="1"/>
  <c r="I115" i="1"/>
  <c r="H115" i="1"/>
  <c r="G115" i="1"/>
  <c r="F115" i="1"/>
  <c r="E115" i="1"/>
  <c r="D115" i="1"/>
  <c r="C115" i="1"/>
  <c r="B115" i="1"/>
  <c r="AA114" i="1"/>
  <c r="T114" i="1"/>
  <c r="AE114" i="1" s="1"/>
  <c r="P114" i="1"/>
  <c r="J114" i="1"/>
  <c r="I114" i="1"/>
  <c r="H114" i="1"/>
  <c r="G114" i="1"/>
  <c r="F114" i="1"/>
  <c r="E114" i="1"/>
  <c r="D114" i="1"/>
  <c r="C114" i="1"/>
  <c r="B114" i="1"/>
  <c r="AB113" i="1"/>
  <c r="Q113" i="1"/>
  <c r="J113" i="1"/>
  <c r="I113" i="1"/>
  <c r="T113" i="1" s="1"/>
  <c r="AE113" i="1" s="1"/>
  <c r="H113" i="1"/>
  <c r="G113" i="1"/>
  <c r="F113" i="1"/>
  <c r="E113" i="1"/>
  <c r="P113" i="1" s="1"/>
  <c r="AA113" i="1" s="1"/>
  <c r="D113" i="1"/>
  <c r="C113" i="1"/>
  <c r="B113" i="1"/>
  <c r="AE112" i="1"/>
  <c r="T112" i="1"/>
  <c r="M112" i="1"/>
  <c r="X112" i="1" s="1"/>
  <c r="J112" i="1"/>
  <c r="I112" i="1"/>
  <c r="H112" i="1"/>
  <c r="G112" i="1"/>
  <c r="F112" i="1"/>
  <c r="E112" i="1"/>
  <c r="D112" i="1"/>
  <c r="C112" i="1"/>
  <c r="B112" i="1"/>
  <c r="E104" i="1"/>
  <c r="D104" i="1"/>
  <c r="T102" i="1"/>
  <c r="AE102" i="1" s="1"/>
  <c r="I102" i="1"/>
  <c r="I104" i="1" s="1"/>
  <c r="H102" i="1"/>
  <c r="H104" i="1" s="1"/>
  <c r="G102" i="1"/>
  <c r="G104" i="1" s="1"/>
  <c r="F102" i="1"/>
  <c r="F104" i="1" s="1"/>
  <c r="E102" i="1"/>
  <c r="D102" i="1"/>
  <c r="C102" i="1"/>
  <c r="C104" i="1" s="1"/>
  <c r="B102" i="1"/>
  <c r="B104" i="1" s="1"/>
  <c r="AE101" i="1"/>
  <c r="T101" i="1"/>
  <c r="J101" i="1"/>
  <c r="T100" i="1"/>
  <c r="AE100" i="1" s="1"/>
  <c r="Q100" i="1"/>
  <c r="AB100" i="1" s="1"/>
  <c r="P100" i="1"/>
  <c r="AA100" i="1" s="1"/>
  <c r="O100" i="1"/>
  <c r="Z100" i="1" s="1"/>
  <c r="J100" i="1"/>
  <c r="AB99" i="1"/>
  <c r="AA99" i="1"/>
  <c r="T99" i="1"/>
  <c r="AE99" i="1" s="1"/>
  <c r="Q99" i="1"/>
  <c r="J99" i="1"/>
  <c r="J102" i="1" s="1"/>
  <c r="AB98" i="1"/>
  <c r="AA98" i="1"/>
  <c r="T98" i="1"/>
  <c r="AE98" i="1" s="1"/>
  <c r="Q98" i="1"/>
  <c r="P98" i="1"/>
  <c r="O98" i="1"/>
  <c r="Z98" i="1" s="1"/>
  <c r="N98" i="1"/>
  <c r="Y98" i="1" s="1"/>
  <c r="J98" i="1"/>
  <c r="AB97" i="1"/>
  <c r="AA97" i="1"/>
  <c r="T97" i="1"/>
  <c r="AE97" i="1" s="1"/>
  <c r="Q97" i="1"/>
  <c r="P97" i="1"/>
  <c r="J97" i="1"/>
  <c r="R93" i="1"/>
  <c r="AC93" i="1" s="1"/>
  <c r="AC92" i="1"/>
  <c r="T92" i="1"/>
  <c r="AE92" i="1" s="1"/>
  <c r="S92" i="1"/>
  <c r="AD92" i="1" s="1"/>
  <c r="R92" i="1"/>
  <c r="AC91" i="1"/>
  <c r="AB91" i="1"/>
  <c r="T91" i="1"/>
  <c r="AE91" i="1" s="1"/>
  <c r="S91" i="1"/>
  <c r="AD91" i="1" s="1"/>
  <c r="R91" i="1"/>
  <c r="Q91" i="1"/>
  <c r="P91" i="1"/>
  <c r="AA91" i="1" s="1"/>
  <c r="AC90" i="1"/>
  <c r="AB90" i="1"/>
  <c r="T90" i="1"/>
  <c r="AE90" i="1" s="1"/>
  <c r="S90" i="1"/>
  <c r="AD90" i="1" s="1"/>
  <c r="R90" i="1"/>
  <c r="AB89" i="1"/>
  <c r="T89" i="1"/>
  <c r="AE89" i="1" s="1"/>
  <c r="Q89" i="1"/>
  <c r="P89" i="1"/>
  <c r="AA89" i="1" s="1"/>
  <c r="AF86" i="1"/>
  <c r="AE86" i="1"/>
  <c r="AD86" i="1"/>
  <c r="AC86" i="1"/>
  <c r="AB86" i="1"/>
  <c r="AA86" i="1"/>
  <c r="Z86" i="1"/>
  <c r="Y86" i="1"/>
  <c r="X86" i="1"/>
  <c r="AE83" i="1"/>
  <c r="T83" i="1"/>
  <c r="N83" i="1"/>
  <c r="Y83" i="1" s="1"/>
  <c r="M83" i="1"/>
  <c r="X83" i="1" s="1"/>
  <c r="AC82" i="1"/>
  <c r="AB82" i="1"/>
  <c r="T82" i="1"/>
  <c r="AE82" i="1" s="1"/>
  <c r="R82" i="1"/>
  <c r="Q82" i="1"/>
  <c r="P82" i="1"/>
  <c r="AA82" i="1" s="1"/>
  <c r="M82" i="1"/>
  <c r="X82" i="1" s="1"/>
  <c r="Y80" i="1"/>
  <c r="X80" i="1"/>
  <c r="T80" i="1"/>
  <c r="AE80" i="1" s="1"/>
  <c r="Q80" i="1"/>
  <c r="AB80" i="1" s="1"/>
  <c r="P80" i="1"/>
  <c r="AA80" i="1" s="1"/>
  <c r="N80" i="1"/>
  <c r="M80" i="1"/>
  <c r="AE79" i="1"/>
  <c r="T79" i="1"/>
  <c r="R79" i="1"/>
  <c r="AC79" i="1" s="1"/>
  <c r="Q79" i="1"/>
  <c r="AB79" i="1" s="1"/>
  <c r="P79" i="1"/>
  <c r="AA79" i="1" s="1"/>
  <c r="O79" i="1"/>
  <c r="Z79" i="1" s="1"/>
  <c r="N79" i="1"/>
  <c r="Y79" i="1" s="1"/>
  <c r="M79" i="1"/>
  <c r="X79" i="1" s="1"/>
  <c r="T78" i="1"/>
  <c r="R78" i="1"/>
  <c r="Q78" i="1"/>
  <c r="P78" i="1"/>
  <c r="O78" i="1"/>
  <c r="N78" i="1"/>
  <c r="X77" i="1"/>
  <c r="T77" i="1"/>
  <c r="AE77" i="1" s="1"/>
  <c r="N77" i="1"/>
  <c r="Y77" i="1" s="1"/>
  <c r="M77" i="1"/>
  <c r="AC76" i="1"/>
  <c r="Y76" i="1"/>
  <c r="X76" i="1"/>
  <c r="T76" i="1"/>
  <c r="AE76" i="1" s="1"/>
  <c r="R76" i="1"/>
  <c r="P76" i="1"/>
  <c r="AA76" i="1" s="1"/>
  <c r="O76" i="1"/>
  <c r="Z76" i="1" s="1"/>
  <c r="N76" i="1"/>
  <c r="M76" i="1"/>
  <c r="Y75" i="1"/>
  <c r="X75" i="1"/>
  <c r="T75" i="1"/>
  <c r="AE75" i="1" s="1"/>
  <c r="N75" i="1"/>
  <c r="M75" i="1"/>
  <c r="Y74" i="1"/>
  <c r="X74" i="1"/>
  <c r="T74" i="1"/>
  <c r="AE74" i="1" s="1"/>
  <c r="Q74" i="1"/>
  <c r="AB74" i="1" s="1"/>
  <c r="P74" i="1"/>
  <c r="AA74" i="1" s="1"/>
  <c r="N74" i="1"/>
  <c r="AE72" i="1"/>
  <c r="Y72" i="1"/>
  <c r="T72" i="1"/>
  <c r="P72" i="1"/>
  <c r="AA72" i="1" s="1"/>
  <c r="O72" i="1"/>
  <c r="Z72" i="1" s="1"/>
  <c r="N72" i="1"/>
  <c r="AE71" i="1"/>
  <c r="Z71" i="1"/>
  <c r="Y71" i="1"/>
  <c r="T71" i="1"/>
  <c r="O71" i="1"/>
  <c r="N71" i="1"/>
  <c r="Y70" i="1"/>
  <c r="T70" i="1"/>
  <c r="AE70" i="1" s="1"/>
  <c r="P70" i="1"/>
  <c r="AA70" i="1" s="1"/>
  <c r="O70" i="1"/>
  <c r="Z70" i="1" s="1"/>
  <c r="N70" i="1"/>
  <c r="AE68" i="1"/>
  <c r="T68" i="1"/>
  <c r="P68" i="1"/>
  <c r="AA68" i="1" s="1"/>
  <c r="O68" i="1"/>
  <c r="Z68" i="1" s="1"/>
  <c r="AE67" i="1"/>
  <c r="Z67" i="1"/>
  <c r="Y67" i="1"/>
  <c r="X67" i="1"/>
  <c r="T67" i="1"/>
  <c r="P67" i="1"/>
  <c r="AA67" i="1" s="1"/>
  <c r="O67" i="1"/>
  <c r="N67" i="1"/>
  <c r="M67" i="1"/>
  <c r="Z66" i="1"/>
  <c r="T66" i="1"/>
  <c r="AE66" i="1" s="1"/>
  <c r="P66" i="1"/>
  <c r="AA66" i="1" s="1"/>
  <c r="O66" i="1"/>
  <c r="AE65" i="1"/>
  <c r="Z65" i="1"/>
  <c r="T65" i="1"/>
  <c r="P65" i="1"/>
  <c r="AA65" i="1" s="1"/>
  <c r="N65" i="1"/>
  <c r="Y65" i="1" s="1"/>
  <c r="M65" i="1"/>
  <c r="X65" i="1" s="1"/>
  <c r="Z64" i="1"/>
  <c r="Y64" i="1"/>
  <c r="X64" i="1"/>
  <c r="T64" i="1"/>
  <c r="AE64" i="1" s="1"/>
  <c r="P64" i="1"/>
  <c r="AA64" i="1" s="1"/>
  <c r="O64" i="1"/>
  <c r="N64" i="1"/>
  <c r="M64" i="1"/>
  <c r="AE63" i="1"/>
  <c r="T63" i="1"/>
  <c r="P63" i="1"/>
  <c r="AA63" i="1" s="1"/>
  <c r="O63" i="1"/>
  <c r="Z63" i="1" s="1"/>
  <c r="AB62" i="1"/>
  <c r="T62" i="1"/>
  <c r="AE62" i="1" s="1"/>
  <c r="Q62" i="1"/>
  <c r="P62" i="1"/>
  <c r="AA62" i="1" s="1"/>
  <c r="O62" i="1"/>
  <c r="Z62" i="1" s="1"/>
  <c r="I52" i="1"/>
  <c r="H52" i="1"/>
  <c r="S102" i="1" s="1"/>
  <c r="AD102" i="1" s="1"/>
  <c r="G52" i="1"/>
  <c r="R102" i="1" s="1"/>
  <c r="AC102" i="1" s="1"/>
  <c r="H51" i="1"/>
  <c r="S101" i="1" s="1"/>
  <c r="AD101" i="1" s="1"/>
  <c r="G51" i="1"/>
  <c r="R101" i="1" s="1"/>
  <c r="AC101" i="1" s="1"/>
  <c r="F51" i="1"/>
  <c r="Q101" i="1" s="1"/>
  <c r="AB101" i="1" s="1"/>
  <c r="E51" i="1"/>
  <c r="P101" i="1" s="1"/>
  <c r="AA101" i="1" s="1"/>
  <c r="D51" i="1"/>
  <c r="O101" i="1" s="1"/>
  <c r="Z101" i="1" s="1"/>
  <c r="C51" i="1"/>
  <c r="N101" i="1" s="1"/>
  <c r="Y101" i="1" s="1"/>
  <c r="B51" i="1"/>
  <c r="J51" i="1" s="1"/>
  <c r="U101" i="1" s="1"/>
  <c r="AF101" i="1" s="1"/>
  <c r="H50" i="1"/>
  <c r="S100" i="1" s="1"/>
  <c r="AD100" i="1" s="1"/>
  <c r="G50" i="1"/>
  <c r="R100" i="1" s="1"/>
  <c r="AC100" i="1" s="1"/>
  <c r="F50" i="1"/>
  <c r="E50" i="1"/>
  <c r="D50" i="1"/>
  <c r="C50" i="1"/>
  <c r="N100" i="1" s="1"/>
  <c r="Y100" i="1" s="1"/>
  <c r="B50" i="1"/>
  <c r="M100" i="1" s="1"/>
  <c r="X100" i="1" s="1"/>
  <c r="H49" i="1"/>
  <c r="S99" i="1" s="1"/>
  <c r="AD99" i="1" s="1"/>
  <c r="G49" i="1"/>
  <c r="R99" i="1" s="1"/>
  <c r="AC99" i="1" s="1"/>
  <c r="F49" i="1"/>
  <c r="E49" i="1"/>
  <c r="P99" i="1" s="1"/>
  <c r="D49" i="1"/>
  <c r="O99" i="1" s="1"/>
  <c r="Z99" i="1" s="1"/>
  <c r="C49" i="1"/>
  <c r="N99" i="1" s="1"/>
  <c r="Y99" i="1" s="1"/>
  <c r="B49" i="1"/>
  <c r="J49" i="1" s="1"/>
  <c r="U99" i="1" s="1"/>
  <c r="AF99" i="1" s="1"/>
  <c r="H48" i="1"/>
  <c r="S98" i="1" s="1"/>
  <c r="AD98" i="1" s="1"/>
  <c r="G48" i="1"/>
  <c r="R98" i="1" s="1"/>
  <c r="AC98" i="1" s="1"/>
  <c r="F48" i="1"/>
  <c r="E48" i="1"/>
  <c r="D48" i="1"/>
  <c r="C48" i="1"/>
  <c r="B48" i="1"/>
  <c r="M98" i="1" s="1"/>
  <c r="X98" i="1" s="1"/>
  <c r="H47" i="1"/>
  <c r="S97" i="1" s="1"/>
  <c r="AD97" i="1" s="1"/>
  <c r="G47" i="1"/>
  <c r="R97" i="1" s="1"/>
  <c r="AC97" i="1" s="1"/>
  <c r="F47" i="1"/>
  <c r="F52" i="1" s="1"/>
  <c r="Q102" i="1" s="1"/>
  <c r="AB102" i="1" s="1"/>
  <c r="E47" i="1"/>
  <c r="E52" i="1" s="1"/>
  <c r="P102" i="1" s="1"/>
  <c r="AA102" i="1" s="1"/>
  <c r="D47" i="1"/>
  <c r="O97" i="1" s="1"/>
  <c r="Z97" i="1" s="1"/>
  <c r="C47" i="1"/>
  <c r="N97" i="1" s="1"/>
  <c r="Y97" i="1" s="1"/>
  <c r="B47" i="1"/>
  <c r="J47" i="1" s="1"/>
  <c r="I43" i="1"/>
  <c r="G43" i="1"/>
  <c r="J42" i="1"/>
  <c r="H42" i="1"/>
  <c r="G42" i="1"/>
  <c r="R142" i="1" s="1"/>
  <c r="F42" i="1"/>
  <c r="Q92" i="1" s="1"/>
  <c r="AB92" i="1" s="1"/>
  <c r="E42" i="1"/>
  <c r="P92" i="1" s="1"/>
  <c r="AA92" i="1" s="1"/>
  <c r="D42" i="1"/>
  <c r="O92" i="1" s="1"/>
  <c r="Z92" i="1" s="1"/>
  <c r="C42" i="1"/>
  <c r="N92" i="1" s="1"/>
  <c r="Y92" i="1" s="1"/>
  <c r="B42" i="1"/>
  <c r="J41" i="1"/>
  <c r="H41" i="1"/>
  <c r="G41" i="1"/>
  <c r="F41" i="1"/>
  <c r="E41" i="1"/>
  <c r="P141" i="1" s="1"/>
  <c r="AA141" i="1" s="1"/>
  <c r="D41" i="1"/>
  <c r="C41" i="1"/>
  <c r="N141" i="1" s="1"/>
  <c r="Y141" i="1" s="1"/>
  <c r="B41" i="1"/>
  <c r="M141" i="1" s="1"/>
  <c r="X141" i="1" s="1"/>
  <c r="J40" i="1"/>
  <c r="H40" i="1"/>
  <c r="S140" i="1" s="1"/>
  <c r="AD140" i="1" s="1"/>
  <c r="G40" i="1"/>
  <c r="R140" i="1" s="1"/>
  <c r="AC140" i="1" s="1"/>
  <c r="F40" i="1"/>
  <c r="Q90" i="1" s="1"/>
  <c r="E40" i="1"/>
  <c r="P140" i="1" s="1"/>
  <c r="AA140" i="1" s="1"/>
  <c r="D40" i="1"/>
  <c r="O90" i="1" s="1"/>
  <c r="Z90" i="1" s="1"/>
  <c r="C40" i="1"/>
  <c r="N140" i="1" s="1"/>
  <c r="Y140" i="1" s="1"/>
  <c r="B40" i="1"/>
  <c r="M140" i="1" s="1"/>
  <c r="X140" i="1" s="1"/>
  <c r="J39" i="1"/>
  <c r="U139" i="1" s="1"/>
  <c r="AF139" i="1" s="1"/>
  <c r="H39" i="1"/>
  <c r="G39" i="1"/>
  <c r="R89" i="1" s="1"/>
  <c r="AC89" i="1" s="1"/>
  <c r="F39" i="1"/>
  <c r="F43" i="1" s="1"/>
  <c r="E39" i="1"/>
  <c r="E43" i="1" s="1"/>
  <c r="D39" i="1"/>
  <c r="O139" i="1" s="1"/>
  <c r="Z139" i="1" s="1"/>
  <c r="C39" i="1"/>
  <c r="N139" i="1" s="1"/>
  <c r="Y139" i="1" s="1"/>
  <c r="B39" i="1"/>
  <c r="M139" i="1" s="1"/>
  <c r="X139" i="1" s="1"/>
  <c r="H36" i="1"/>
  <c r="G36" i="1"/>
  <c r="F36" i="1"/>
  <c r="Q136" i="1" s="1"/>
  <c r="AB136" i="1" s="1"/>
  <c r="E36" i="1"/>
  <c r="P136" i="1" s="1"/>
  <c r="AA136" i="1" s="1"/>
  <c r="D36" i="1"/>
  <c r="O136" i="1" s="1"/>
  <c r="Z136" i="1" s="1"/>
  <c r="C36" i="1"/>
  <c r="N136" i="1" s="1"/>
  <c r="Y136" i="1" s="1"/>
  <c r="B36" i="1"/>
  <c r="M136" i="1" s="1"/>
  <c r="X136" i="1" s="1"/>
  <c r="I34" i="1"/>
  <c r="T84" i="1" s="1"/>
  <c r="AE84" i="1" s="1"/>
  <c r="H34" i="1"/>
  <c r="G34" i="1"/>
  <c r="F34" i="1"/>
  <c r="Q134" i="1" s="1"/>
  <c r="AB134" i="1" s="1"/>
  <c r="H33" i="1"/>
  <c r="G33" i="1"/>
  <c r="R133" i="1" s="1"/>
  <c r="AC133" i="1" s="1"/>
  <c r="F33" i="1"/>
  <c r="Q133" i="1" s="1"/>
  <c r="AB133" i="1" s="1"/>
  <c r="E33" i="1"/>
  <c r="P83" i="1" s="1"/>
  <c r="AA83" i="1" s="1"/>
  <c r="D33" i="1"/>
  <c r="O133" i="1" s="1"/>
  <c r="Z133" i="1" s="1"/>
  <c r="C33" i="1"/>
  <c r="B33" i="1"/>
  <c r="H32" i="1"/>
  <c r="G32" i="1"/>
  <c r="R132" i="1" s="1"/>
  <c r="AC132" i="1" s="1"/>
  <c r="F32" i="1"/>
  <c r="E32" i="1"/>
  <c r="E34" i="1" s="1"/>
  <c r="D32" i="1"/>
  <c r="O82" i="1" s="1"/>
  <c r="Z82" i="1" s="1"/>
  <c r="C32" i="1"/>
  <c r="B32" i="1"/>
  <c r="M132" i="1" s="1"/>
  <c r="I31" i="1"/>
  <c r="H31" i="1"/>
  <c r="G31" i="1"/>
  <c r="R81" i="1" s="1"/>
  <c r="AC81" i="1" s="1"/>
  <c r="F31" i="1"/>
  <c r="Q81" i="1" s="1"/>
  <c r="AB81" i="1" s="1"/>
  <c r="E31" i="1"/>
  <c r="D31" i="1"/>
  <c r="O131" i="1" s="1"/>
  <c r="Z131" i="1" s="1"/>
  <c r="J30" i="1"/>
  <c r="U130" i="1" s="1"/>
  <c r="AF130" i="1" s="1"/>
  <c r="H30" i="1"/>
  <c r="G30" i="1"/>
  <c r="F30" i="1"/>
  <c r="E30" i="1"/>
  <c r="D30" i="1"/>
  <c r="O80" i="1" s="1"/>
  <c r="Z80" i="1" s="1"/>
  <c r="C30" i="1"/>
  <c r="B30" i="1"/>
  <c r="M130" i="1" s="1"/>
  <c r="X130" i="1" s="1"/>
  <c r="J29" i="1"/>
  <c r="U129" i="1" s="1"/>
  <c r="AF129" i="1" s="1"/>
  <c r="H29" i="1"/>
  <c r="S79" i="1" s="1"/>
  <c r="AD79" i="1" s="1"/>
  <c r="G29" i="1"/>
  <c r="F29" i="1"/>
  <c r="Q129" i="1" s="1"/>
  <c r="AB129" i="1" s="1"/>
  <c r="E29" i="1"/>
  <c r="P129" i="1" s="1"/>
  <c r="AA129" i="1" s="1"/>
  <c r="D29" i="1"/>
  <c r="C29" i="1"/>
  <c r="N129" i="1" s="1"/>
  <c r="Y129" i="1" s="1"/>
  <c r="B29" i="1"/>
  <c r="M129" i="1" s="1"/>
  <c r="X129" i="1" s="1"/>
  <c r="J28" i="1"/>
  <c r="U78" i="1" s="1"/>
  <c r="H28" i="1"/>
  <c r="S78" i="1" s="1"/>
  <c r="G28" i="1"/>
  <c r="F28" i="1"/>
  <c r="Q128" i="1" s="1"/>
  <c r="E28" i="1"/>
  <c r="P128" i="1" s="1"/>
  <c r="D28" i="1"/>
  <c r="O128" i="1" s="1"/>
  <c r="C28" i="1"/>
  <c r="N128" i="1" s="1"/>
  <c r="B28" i="1"/>
  <c r="J27" i="1"/>
  <c r="U127" i="1" s="1"/>
  <c r="AF127" i="1" s="1"/>
  <c r="H27" i="1"/>
  <c r="G27" i="1"/>
  <c r="R77" i="1" s="1"/>
  <c r="AC77" i="1" s="1"/>
  <c r="F27" i="1"/>
  <c r="Q77" i="1" s="1"/>
  <c r="AB77" i="1" s="1"/>
  <c r="E27" i="1"/>
  <c r="P77" i="1" s="1"/>
  <c r="AA77" i="1" s="1"/>
  <c r="D27" i="1"/>
  <c r="C27" i="1"/>
  <c r="B27" i="1"/>
  <c r="J26" i="1"/>
  <c r="U126" i="1" s="1"/>
  <c r="AF126" i="1" s="1"/>
  <c r="H26" i="1"/>
  <c r="G26" i="1"/>
  <c r="R126" i="1" s="1"/>
  <c r="F26" i="1"/>
  <c r="E26" i="1"/>
  <c r="P126" i="1" s="1"/>
  <c r="AA126" i="1" s="1"/>
  <c r="D26" i="1"/>
  <c r="O126" i="1" s="1"/>
  <c r="Z126" i="1" s="1"/>
  <c r="C26" i="1"/>
  <c r="B26" i="1"/>
  <c r="J25" i="1"/>
  <c r="U75" i="1" s="1"/>
  <c r="AF75" i="1" s="1"/>
  <c r="H25" i="1"/>
  <c r="S75" i="1" s="1"/>
  <c r="AD75" i="1" s="1"/>
  <c r="G25" i="1"/>
  <c r="R75" i="1" s="1"/>
  <c r="AC75" i="1" s="1"/>
  <c r="F25" i="1"/>
  <c r="Q125" i="1" s="1"/>
  <c r="AB125" i="1" s="1"/>
  <c r="E25" i="1"/>
  <c r="P125" i="1" s="1"/>
  <c r="AA125" i="1" s="1"/>
  <c r="D25" i="1"/>
  <c r="O125" i="1" s="1"/>
  <c r="Z125" i="1" s="1"/>
  <c r="C25" i="1"/>
  <c r="N125" i="1" s="1"/>
  <c r="Y125" i="1" s="1"/>
  <c r="B25" i="1"/>
  <c r="M125" i="1" s="1"/>
  <c r="X125" i="1" s="1"/>
  <c r="J24" i="1"/>
  <c r="U74" i="1" s="1"/>
  <c r="AF74" i="1" s="1"/>
  <c r="H24" i="1"/>
  <c r="S74" i="1" s="1"/>
  <c r="AD74" i="1" s="1"/>
  <c r="G24" i="1"/>
  <c r="R74" i="1" s="1"/>
  <c r="AC74" i="1" s="1"/>
  <c r="F24" i="1"/>
  <c r="E24" i="1"/>
  <c r="D24" i="1"/>
  <c r="O74" i="1" s="1"/>
  <c r="Z74" i="1" s="1"/>
  <c r="C24" i="1"/>
  <c r="N124" i="1" s="1"/>
  <c r="Y124" i="1" s="1"/>
  <c r="B24" i="1"/>
  <c r="M74" i="1" s="1"/>
  <c r="I23" i="1"/>
  <c r="T73" i="1" s="1"/>
  <c r="AE73" i="1" s="1"/>
  <c r="G23" i="1"/>
  <c r="F23" i="1"/>
  <c r="Q123" i="1" s="1"/>
  <c r="AB123" i="1" s="1"/>
  <c r="E23" i="1"/>
  <c r="P123" i="1" s="1"/>
  <c r="AA123" i="1" s="1"/>
  <c r="H22" i="1"/>
  <c r="J22" i="1" s="1"/>
  <c r="G22" i="1"/>
  <c r="R72" i="1" s="1"/>
  <c r="AC72" i="1" s="1"/>
  <c r="F22" i="1"/>
  <c r="E22" i="1"/>
  <c r="D22" i="1"/>
  <c r="C22" i="1"/>
  <c r="B22" i="1"/>
  <c r="M122" i="1" s="1"/>
  <c r="H21" i="1"/>
  <c r="G21" i="1"/>
  <c r="R71" i="1" s="1"/>
  <c r="AC71" i="1" s="1"/>
  <c r="F21" i="1"/>
  <c r="Q71" i="1" s="1"/>
  <c r="AB71" i="1" s="1"/>
  <c r="E21" i="1"/>
  <c r="P71" i="1" s="1"/>
  <c r="AA71" i="1" s="1"/>
  <c r="D21" i="1"/>
  <c r="C21" i="1"/>
  <c r="N121" i="1" s="1"/>
  <c r="B21" i="1"/>
  <c r="M121" i="1" s="1"/>
  <c r="H20" i="1"/>
  <c r="S120" i="1" s="1"/>
  <c r="AD120" i="1" s="1"/>
  <c r="G20" i="1"/>
  <c r="R70" i="1" s="1"/>
  <c r="AC70" i="1" s="1"/>
  <c r="F20" i="1"/>
  <c r="Q70" i="1" s="1"/>
  <c r="AB70" i="1" s="1"/>
  <c r="E20" i="1"/>
  <c r="D20" i="1"/>
  <c r="D23" i="1" s="1"/>
  <c r="C20" i="1"/>
  <c r="B20" i="1"/>
  <c r="M70" i="1" s="1"/>
  <c r="X70" i="1" s="1"/>
  <c r="I19" i="1"/>
  <c r="T119" i="1" s="1"/>
  <c r="AE119" i="1" s="1"/>
  <c r="F19" i="1"/>
  <c r="H18" i="1"/>
  <c r="S118" i="1" s="1"/>
  <c r="AD118" i="1" s="1"/>
  <c r="G18" i="1"/>
  <c r="F18" i="1"/>
  <c r="E18" i="1"/>
  <c r="D18" i="1"/>
  <c r="C18" i="1"/>
  <c r="N68" i="1" s="1"/>
  <c r="Y68" i="1" s="1"/>
  <c r="B18" i="1"/>
  <c r="M118" i="1" s="1"/>
  <c r="X118" i="1" s="1"/>
  <c r="H17" i="1"/>
  <c r="G17" i="1"/>
  <c r="R117" i="1" s="1"/>
  <c r="AC117" i="1" s="1"/>
  <c r="F17" i="1"/>
  <c r="E17" i="1"/>
  <c r="D17" i="1"/>
  <c r="O117" i="1" s="1"/>
  <c r="Z117" i="1" s="1"/>
  <c r="C17" i="1"/>
  <c r="B17" i="1"/>
  <c r="H16" i="1"/>
  <c r="S116" i="1" s="1"/>
  <c r="AD116" i="1" s="1"/>
  <c r="G16" i="1"/>
  <c r="R116" i="1" s="1"/>
  <c r="AC116" i="1" s="1"/>
  <c r="F16" i="1"/>
  <c r="E16" i="1"/>
  <c r="P116" i="1" s="1"/>
  <c r="AA116" i="1" s="1"/>
  <c r="D16" i="1"/>
  <c r="O116" i="1" s="1"/>
  <c r="Z116" i="1" s="1"/>
  <c r="C16" i="1"/>
  <c r="B16" i="1"/>
  <c r="M66" i="1" s="1"/>
  <c r="X66" i="1" s="1"/>
  <c r="H15" i="1"/>
  <c r="S65" i="1" s="1"/>
  <c r="AD65" i="1" s="1"/>
  <c r="G15" i="1"/>
  <c r="R65" i="1" s="1"/>
  <c r="AC65" i="1" s="1"/>
  <c r="F15" i="1"/>
  <c r="Q65" i="1" s="1"/>
  <c r="AB65" i="1" s="1"/>
  <c r="E15" i="1"/>
  <c r="P115" i="1" s="1"/>
  <c r="AA115" i="1" s="1"/>
  <c r="D15" i="1"/>
  <c r="O65" i="1" s="1"/>
  <c r="C15" i="1"/>
  <c r="N115" i="1" s="1"/>
  <c r="Y115" i="1" s="1"/>
  <c r="B15" i="1"/>
  <c r="M115" i="1" s="1"/>
  <c r="X115" i="1" s="1"/>
  <c r="H14" i="1"/>
  <c r="S114" i="1" s="1"/>
  <c r="AD114" i="1" s="1"/>
  <c r="G14" i="1"/>
  <c r="F14" i="1"/>
  <c r="Q64" i="1" s="1"/>
  <c r="AB64" i="1" s="1"/>
  <c r="E14" i="1"/>
  <c r="D14" i="1"/>
  <c r="O114" i="1" s="1"/>
  <c r="Z114" i="1" s="1"/>
  <c r="C14" i="1"/>
  <c r="N114" i="1" s="1"/>
  <c r="Y114" i="1" s="1"/>
  <c r="B14" i="1"/>
  <c r="M114" i="1" s="1"/>
  <c r="X114" i="1" s="1"/>
  <c r="H13" i="1"/>
  <c r="S63" i="1" s="1"/>
  <c r="AD63" i="1" s="1"/>
  <c r="G13" i="1"/>
  <c r="R63" i="1" s="1"/>
  <c r="AC63" i="1" s="1"/>
  <c r="F13" i="1"/>
  <c r="Q63" i="1" s="1"/>
  <c r="AB63" i="1" s="1"/>
  <c r="E13" i="1"/>
  <c r="D13" i="1"/>
  <c r="O113" i="1" s="1"/>
  <c r="Z113" i="1" s="1"/>
  <c r="C13" i="1"/>
  <c r="N113" i="1" s="1"/>
  <c r="Y113" i="1" s="1"/>
  <c r="B13" i="1"/>
  <c r="M63" i="1" s="1"/>
  <c r="X63" i="1" s="1"/>
  <c r="H12" i="1"/>
  <c r="H19" i="1" s="1"/>
  <c r="G12" i="1"/>
  <c r="G19" i="1" s="1"/>
  <c r="F12" i="1"/>
  <c r="Q112" i="1" s="1"/>
  <c r="AB112" i="1" s="1"/>
  <c r="E12" i="1"/>
  <c r="P112" i="1" s="1"/>
  <c r="AA112" i="1" s="1"/>
  <c r="D12" i="1"/>
  <c r="O112" i="1" s="1"/>
  <c r="Z112" i="1" s="1"/>
  <c r="C12" i="1"/>
  <c r="B12" i="1"/>
  <c r="M62" i="1" s="1"/>
  <c r="X62" i="1" s="1"/>
  <c r="A3" i="1"/>
  <c r="A8" i="1" s="1"/>
  <c r="A58" i="1" s="1"/>
  <c r="A2" i="1"/>
  <c r="A1" i="1"/>
  <c r="S119" i="1" l="1"/>
  <c r="AD119" i="1" s="1"/>
  <c r="S69" i="1"/>
  <c r="AD69" i="1" s="1"/>
  <c r="P143" i="1"/>
  <c r="AA143" i="1" s="1"/>
  <c r="P93" i="1"/>
  <c r="AA93" i="1" s="1"/>
  <c r="U122" i="1"/>
  <c r="U72" i="1"/>
  <c r="AF72" i="1" s="1"/>
  <c r="Q143" i="1"/>
  <c r="AB143" i="1" s="1"/>
  <c r="Q93" i="1"/>
  <c r="AB93" i="1" s="1"/>
  <c r="R69" i="1"/>
  <c r="AC69" i="1" s="1"/>
  <c r="R119" i="1"/>
  <c r="AC119" i="1" s="1"/>
  <c r="P134" i="1"/>
  <c r="AA134" i="1" s="1"/>
  <c r="E35" i="1"/>
  <c r="P84" i="1"/>
  <c r="AA84" i="1" s="1"/>
  <c r="U97" i="1"/>
  <c r="AF97" i="1" s="1"/>
  <c r="S121" i="1"/>
  <c r="S71" i="1"/>
  <c r="AD71" i="1" s="1"/>
  <c r="N82" i="1"/>
  <c r="Y82" i="1" s="1"/>
  <c r="J32" i="1"/>
  <c r="F35" i="1"/>
  <c r="U141" i="1"/>
  <c r="AF141" i="1" s="1"/>
  <c r="U91" i="1"/>
  <c r="AF91" i="1" s="1"/>
  <c r="J43" i="1"/>
  <c r="R66" i="1"/>
  <c r="AC66" i="1" s="1"/>
  <c r="E42" i="5"/>
  <c r="O51" i="5"/>
  <c r="Y51" i="5" s="1"/>
  <c r="J20" i="1"/>
  <c r="R134" i="1"/>
  <c r="AC134" i="1" s="1"/>
  <c r="R84" i="1"/>
  <c r="AC84" i="1" s="1"/>
  <c r="G35" i="1"/>
  <c r="M142" i="1"/>
  <c r="X142" i="1" s="1"/>
  <c r="M92" i="1"/>
  <c r="X92" i="1" s="1"/>
  <c r="S66" i="1"/>
  <c r="AD66" i="1" s="1"/>
  <c r="R112" i="1"/>
  <c r="AC112" i="1" s="1"/>
  <c r="O75" i="4"/>
  <c r="Z75" i="4" s="1"/>
  <c r="O81" i="4"/>
  <c r="Z81" i="4" s="1"/>
  <c r="J13" i="1"/>
  <c r="J15" i="1"/>
  <c r="J17" i="1"/>
  <c r="P131" i="1"/>
  <c r="AA131" i="1" s="1"/>
  <c r="P81" i="1"/>
  <c r="AA81" i="1" s="1"/>
  <c r="S134" i="1"/>
  <c r="AD134" i="1" s="1"/>
  <c r="S84" i="1"/>
  <c r="AD84" i="1" s="1"/>
  <c r="H35" i="1"/>
  <c r="C43" i="1"/>
  <c r="D52" i="1"/>
  <c r="O102" i="1" s="1"/>
  <c r="Z102" i="1" s="1"/>
  <c r="R62" i="1"/>
  <c r="AC62" i="1" s="1"/>
  <c r="S70" i="1"/>
  <c r="AD70" i="1" s="1"/>
  <c r="M90" i="1"/>
  <c r="X90" i="1" s="1"/>
  <c r="S112" i="1"/>
  <c r="AD112" i="1" s="1"/>
  <c r="N62" i="1"/>
  <c r="Y62" i="1" s="1"/>
  <c r="N112" i="1"/>
  <c r="Y112" i="1" s="1"/>
  <c r="N116" i="1"/>
  <c r="Y116" i="1" s="1"/>
  <c r="C19" i="1"/>
  <c r="N63" i="1"/>
  <c r="Y63" i="1" s="1"/>
  <c r="P73" i="1"/>
  <c r="AA73" i="1" s="1"/>
  <c r="O83" i="1"/>
  <c r="Z83" i="1" s="1"/>
  <c r="R113" i="1"/>
  <c r="AC113" i="1" s="1"/>
  <c r="P76" i="2"/>
  <c r="AB47" i="2"/>
  <c r="P47" i="2"/>
  <c r="AB76" i="2"/>
  <c r="AD49" i="2"/>
  <c r="AD78" i="2"/>
  <c r="R49" i="2"/>
  <c r="W83" i="2"/>
  <c r="AI83" i="2"/>
  <c r="W54" i="2"/>
  <c r="Q87" i="2"/>
  <c r="AC87" i="2"/>
  <c r="AE60" i="2"/>
  <c r="S60" i="2"/>
  <c r="AE89" i="2"/>
  <c r="Q58" i="2"/>
  <c r="R123" i="1"/>
  <c r="AC123" i="1" s="1"/>
  <c r="R73" i="1"/>
  <c r="AC73" i="1" s="1"/>
  <c r="Q76" i="1"/>
  <c r="AB76" i="1" s="1"/>
  <c r="Q126" i="1"/>
  <c r="AB126" i="1" s="1"/>
  <c r="Q73" i="1"/>
  <c r="AB73" i="1" s="1"/>
  <c r="U79" i="1"/>
  <c r="AF79" i="1" s="1"/>
  <c r="Q84" i="1"/>
  <c r="AB84" i="1" s="1"/>
  <c r="P90" i="1"/>
  <c r="AA90" i="1" s="1"/>
  <c r="S113" i="1"/>
  <c r="AD113" i="1" s="1"/>
  <c r="U125" i="1"/>
  <c r="AF125" i="1" s="1"/>
  <c r="R114" i="1"/>
  <c r="AC114" i="1" s="1"/>
  <c r="R64" i="1"/>
  <c r="AC64" i="1" s="1"/>
  <c r="R118" i="1"/>
  <c r="AC118" i="1" s="1"/>
  <c r="R68" i="1"/>
  <c r="AC68" i="1" s="1"/>
  <c r="S122" i="1"/>
  <c r="S72" i="1"/>
  <c r="AD72" i="1" s="1"/>
  <c r="U140" i="1"/>
  <c r="AF140" i="1" s="1"/>
  <c r="U90" i="1"/>
  <c r="AF90" i="1" s="1"/>
  <c r="U142" i="1"/>
  <c r="AF142" i="1" s="1"/>
  <c r="U92" i="1"/>
  <c r="AF92" i="1" s="1"/>
  <c r="B52" i="1"/>
  <c r="M102" i="1" s="1"/>
  <c r="X102" i="1" s="1"/>
  <c r="S67" i="1"/>
  <c r="AD67" i="1" s="1"/>
  <c r="S117" i="1"/>
  <c r="AD117" i="1" s="1"/>
  <c r="J21" i="1"/>
  <c r="P133" i="1"/>
  <c r="AA133" i="1" s="1"/>
  <c r="B43" i="1"/>
  <c r="C52" i="1"/>
  <c r="N102" i="1" s="1"/>
  <c r="Y102" i="1" s="1"/>
  <c r="U77" i="1"/>
  <c r="AF77" i="1" s="1"/>
  <c r="R115" i="1"/>
  <c r="AC115" i="1" s="1"/>
  <c r="J12" i="1"/>
  <c r="J14" i="1"/>
  <c r="J16" i="1"/>
  <c r="J18" i="1"/>
  <c r="B23" i="1"/>
  <c r="S68" i="1"/>
  <c r="AD68" i="1" s="1"/>
  <c r="M71" i="1"/>
  <c r="X71" i="1" s="1"/>
  <c r="M101" i="1"/>
  <c r="X101" i="1" s="1"/>
  <c r="S115" i="1"/>
  <c r="AD115" i="1" s="1"/>
  <c r="B19" i="1"/>
  <c r="O127" i="1"/>
  <c r="Z127" i="1" s="1"/>
  <c r="O77" i="1"/>
  <c r="Z77" i="1" s="1"/>
  <c r="O91" i="1"/>
  <c r="Z91" i="1" s="1"/>
  <c r="O141" i="1"/>
  <c r="Z141" i="1" s="1"/>
  <c r="D43" i="1"/>
  <c r="S62" i="1"/>
  <c r="AD62" i="1" s="1"/>
  <c r="O75" i="1"/>
  <c r="Z75" i="1" s="1"/>
  <c r="U80" i="1"/>
  <c r="AF80" i="1" s="1"/>
  <c r="U89" i="1"/>
  <c r="AF89" i="1" s="1"/>
  <c r="N90" i="1"/>
  <c r="Y90" i="1" s="1"/>
  <c r="M97" i="1"/>
  <c r="X97" i="1" s="1"/>
  <c r="M99" i="1"/>
  <c r="X99" i="1" s="1"/>
  <c r="Q78" i="2"/>
  <c r="AC78" i="2"/>
  <c r="S80" i="2"/>
  <c r="AE80" i="2"/>
  <c r="AE51" i="2"/>
  <c r="S51" i="2"/>
  <c r="Q88" i="2"/>
  <c r="Q59" i="2"/>
  <c r="AC88" i="2"/>
  <c r="AC59" i="2"/>
  <c r="AE90" i="2"/>
  <c r="S90" i="2"/>
  <c r="AE61" i="2"/>
  <c r="S61" i="2"/>
  <c r="T91" i="2"/>
  <c r="AF62" i="2"/>
  <c r="T62" i="2"/>
  <c r="AF91" i="2"/>
  <c r="N117" i="1"/>
  <c r="Y117" i="1" s="1"/>
  <c r="O123" i="1"/>
  <c r="Z123" i="1" s="1"/>
  <c r="O73" i="1"/>
  <c r="Z73" i="1" s="1"/>
  <c r="P124" i="1"/>
  <c r="AA124" i="1" s="1"/>
  <c r="S133" i="1"/>
  <c r="AD133" i="1" s="1"/>
  <c r="S83" i="1"/>
  <c r="AD83" i="1" s="1"/>
  <c r="P75" i="1"/>
  <c r="AA75" i="1" s="1"/>
  <c r="U76" i="1"/>
  <c r="AF76" i="1" s="1"/>
  <c r="O81" i="1"/>
  <c r="Z81" i="1" s="1"/>
  <c r="J104" i="1"/>
  <c r="Q77" i="2"/>
  <c r="Q48" i="2"/>
  <c r="AC77" i="2"/>
  <c r="AC48" i="2"/>
  <c r="S79" i="2"/>
  <c r="AE50" i="2"/>
  <c r="S50" i="2"/>
  <c r="AE79" i="2"/>
  <c r="AF51" i="2"/>
  <c r="T51" i="2"/>
  <c r="AF80" i="2"/>
  <c r="T80" i="2"/>
  <c r="P86" i="2"/>
  <c r="AB57" i="2"/>
  <c r="AB86" i="2"/>
  <c r="P57" i="2"/>
  <c r="AD59" i="2"/>
  <c r="AD88" i="2"/>
  <c r="AF61" i="2"/>
  <c r="T90" i="2"/>
  <c r="T61" i="2"/>
  <c r="AF90" i="2"/>
  <c r="R78" i="2"/>
  <c r="J39" i="4"/>
  <c r="B41" i="4"/>
  <c r="M48" i="4"/>
  <c r="X48" i="4" s="1"/>
  <c r="Q119" i="1"/>
  <c r="AB119" i="1" s="1"/>
  <c r="Q69" i="1"/>
  <c r="AB69" i="1" s="1"/>
  <c r="S132" i="1"/>
  <c r="AD132" i="1" s="1"/>
  <c r="S82" i="1"/>
  <c r="AD82" i="1" s="1"/>
  <c r="C34" i="1"/>
  <c r="N66" i="1"/>
  <c r="Y66" i="1" s="1"/>
  <c r="R67" i="1"/>
  <c r="AC67" i="1" s="1"/>
  <c r="Q75" i="1"/>
  <c r="AB75" i="1" s="1"/>
  <c r="M89" i="1"/>
  <c r="X89" i="1" s="1"/>
  <c r="Q122" i="1"/>
  <c r="Q72" i="1"/>
  <c r="AB72" i="1" s="1"/>
  <c r="H23" i="1"/>
  <c r="R128" i="1"/>
  <c r="R129" i="1"/>
  <c r="AC129" i="1" s="1"/>
  <c r="R80" i="1"/>
  <c r="AC80" i="1" s="1"/>
  <c r="R130" i="1"/>
  <c r="AC130" i="1" s="1"/>
  <c r="T131" i="1"/>
  <c r="AE131" i="1" s="1"/>
  <c r="T81" i="1"/>
  <c r="AE81" i="1" s="1"/>
  <c r="D34" i="1"/>
  <c r="S64" i="1"/>
  <c r="AD64" i="1" s="1"/>
  <c r="M68" i="1"/>
  <c r="X68" i="1" s="1"/>
  <c r="M72" i="1"/>
  <c r="X72" i="1" s="1"/>
  <c r="Q83" i="1"/>
  <c r="AB83" i="1" s="1"/>
  <c r="N89" i="1"/>
  <c r="Y89" i="1" s="1"/>
  <c r="M91" i="1"/>
  <c r="X91" i="1" s="1"/>
  <c r="A108" i="1"/>
  <c r="Q114" i="1"/>
  <c r="AB114" i="1" s="1"/>
  <c r="M120" i="1"/>
  <c r="X120" i="1" s="1"/>
  <c r="U128" i="1"/>
  <c r="L30" i="5"/>
  <c r="S25" i="5"/>
  <c r="AC25" i="5" s="1"/>
  <c r="I16" i="5"/>
  <c r="V30" i="5" s="1"/>
  <c r="D33" i="6" s="1"/>
  <c r="H41" i="5"/>
  <c r="G41" i="5"/>
  <c r="D41" i="5"/>
  <c r="I41" i="5"/>
  <c r="I52" i="5"/>
  <c r="F41" i="5"/>
  <c r="B41" i="5"/>
  <c r="M113" i="1"/>
  <c r="X113" i="1" s="1"/>
  <c r="AF71" i="2"/>
  <c r="AF42" i="2"/>
  <c r="T42" i="2"/>
  <c r="T71" i="2"/>
  <c r="AB77" i="2"/>
  <c r="P48" i="2"/>
  <c r="AB48" i="2"/>
  <c r="R79" i="2"/>
  <c r="AD79" i="2"/>
  <c r="AD50" i="2"/>
  <c r="R50" i="2"/>
  <c r="AF52" i="2"/>
  <c r="T52" i="2"/>
  <c r="T81" i="2"/>
  <c r="AF81" i="2"/>
  <c r="AB87" i="2"/>
  <c r="AB58" i="2"/>
  <c r="P87" i="2"/>
  <c r="R89" i="2"/>
  <c r="AD89" i="2"/>
  <c r="AD60" i="2"/>
  <c r="G16" i="4"/>
  <c r="R25" i="4" s="1"/>
  <c r="AC25" i="4" s="1"/>
  <c r="J40" i="4"/>
  <c r="M49" i="4"/>
  <c r="X49" i="4" s="1"/>
  <c r="U124" i="1"/>
  <c r="AF124" i="1" s="1"/>
  <c r="S131" i="1"/>
  <c r="AD131" i="1" s="1"/>
  <c r="S81" i="1"/>
  <c r="AD81" i="1" s="1"/>
  <c r="Q116" i="1"/>
  <c r="AB116" i="1" s="1"/>
  <c r="Q66" i="1"/>
  <c r="AB66" i="1" s="1"/>
  <c r="Q67" i="1"/>
  <c r="AB67" i="1" s="1"/>
  <c r="Q117" i="1"/>
  <c r="AB117" i="1" s="1"/>
  <c r="Q68" i="1"/>
  <c r="AB68" i="1" s="1"/>
  <c r="Q118" i="1"/>
  <c r="AB118" i="1" s="1"/>
  <c r="S126" i="1"/>
  <c r="AD126" i="1" s="1"/>
  <c r="S76" i="1"/>
  <c r="AD76" i="1" s="1"/>
  <c r="S127" i="1"/>
  <c r="AD127" i="1" s="1"/>
  <c r="S77" i="1"/>
  <c r="AD77" i="1" s="1"/>
  <c r="S130" i="1"/>
  <c r="AD130" i="1" s="1"/>
  <c r="S80" i="1"/>
  <c r="AD80" i="1" s="1"/>
  <c r="J33" i="1"/>
  <c r="T143" i="1"/>
  <c r="AE143" i="1" s="1"/>
  <c r="T93" i="1"/>
  <c r="AE93" i="1" s="1"/>
  <c r="J48" i="1"/>
  <c r="U98" i="1" s="1"/>
  <c r="AF98" i="1" s="1"/>
  <c r="J50" i="1"/>
  <c r="U100" i="1" s="1"/>
  <c r="AF100" i="1" s="1"/>
  <c r="T69" i="1"/>
  <c r="AE69" i="1" s="1"/>
  <c r="R83" i="1"/>
  <c r="AC83" i="1" s="1"/>
  <c r="O89" i="1"/>
  <c r="Z89" i="1" s="1"/>
  <c r="N91" i="1"/>
  <c r="Y91" i="1" s="1"/>
  <c r="N132" i="1"/>
  <c r="Y132" i="1" s="1"/>
  <c r="N133" i="1"/>
  <c r="Y133" i="1" s="1"/>
  <c r="C41" i="5"/>
  <c r="AC71" i="2"/>
  <c r="Q71" i="2"/>
  <c r="Q42" i="2"/>
  <c r="AC42" i="2"/>
  <c r="AD72" i="2"/>
  <c r="R72" i="2"/>
  <c r="AD43" i="2"/>
  <c r="R43" i="2"/>
  <c r="P80" i="2"/>
  <c r="AB80" i="2"/>
  <c r="AB51" i="2"/>
  <c r="Q81" i="2"/>
  <c r="AC52" i="2"/>
  <c r="Q52" i="2"/>
  <c r="AC81" i="2"/>
  <c r="AD53" i="2"/>
  <c r="R53" i="2"/>
  <c r="AD82" i="2"/>
  <c r="AE54" i="2"/>
  <c r="AE83" i="2"/>
  <c r="T57" i="2"/>
  <c r="AF86" i="2"/>
  <c r="P90" i="2"/>
  <c r="AB90" i="2"/>
  <c r="P61" i="2"/>
  <c r="AC91" i="2"/>
  <c r="Q91" i="2"/>
  <c r="AC62" i="2"/>
  <c r="Q62" i="2"/>
  <c r="AD92" i="2"/>
  <c r="AD63" i="2"/>
  <c r="R63" i="2"/>
  <c r="R92" i="2"/>
  <c r="P51" i="2"/>
  <c r="T76" i="2"/>
  <c r="N48" i="4"/>
  <c r="Y48" i="4" s="1"/>
  <c r="C41" i="4"/>
  <c r="N50" i="4" s="1"/>
  <c r="Y50" i="4" s="1"/>
  <c r="D19" i="1"/>
  <c r="N120" i="1"/>
  <c r="Y120" i="1" s="1"/>
  <c r="C23" i="1"/>
  <c r="M128" i="1"/>
  <c r="M78" i="1"/>
  <c r="B31" i="1"/>
  <c r="E19" i="1"/>
  <c r="N126" i="1"/>
  <c r="Y126" i="1" s="1"/>
  <c r="N127" i="1"/>
  <c r="Y127" i="1" s="1"/>
  <c r="C31" i="1"/>
  <c r="B34" i="1"/>
  <c r="I35" i="1"/>
  <c r="S139" i="1"/>
  <c r="AD139" i="1" s="1"/>
  <c r="S89" i="1"/>
  <c r="AD89" i="1" s="1"/>
  <c r="H43" i="1"/>
  <c r="M124" i="1"/>
  <c r="X124" i="1" s="1"/>
  <c r="AD71" i="2"/>
  <c r="R71" i="2"/>
  <c r="AD42" i="2"/>
  <c r="S72" i="2"/>
  <c r="AE72" i="2"/>
  <c r="AE43" i="2"/>
  <c r="S43" i="2"/>
  <c r="T44" i="2"/>
  <c r="AF44" i="2"/>
  <c r="P50" i="2"/>
  <c r="AB79" i="2"/>
  <c r="R52" i="2"/>
  <c r="R81" i="2"/>
  <c r="AD52" i="2"/>
  <c r="AD81" i="2"/>
  <c r="AE82" i="2"/>
  <c r="AE53" i="2"/>
  <c r="S53" i="2"/>
  <c r="AF83" i="2"/>
  <c r="T54" i="2"/>
  <c r="P60" i="2"/>
  <c r="AB60" i="2"/>
  <c r="AB89" i="2"/>
  <c r="AC90" i="2"/>
  <c r="Q90" i="2"/>
  <c r="Q61" i="2"/>
  <c r="R91" i="2"/>
  <c r="R62" i="2"/>
  <c r="AD62" i="2"/>
  <c r="AE92" i="2"/>
  <c r="AE63" i="2"/>
  <c r="S63" i="2"/>
  <c r="S44" i="2"/>
  <c r="AF47" i="2"/>
  <c r="Q51" i="2"/>
  <c r="O115" i="1"/>
  <c r="Z115" i="1" s="1"/>
  <c r="AE42" i="2"/>
  <c r="S71" i="2"/>
  <c r="T72" i="2"/>
  <c r="T43" i="2"/>
  <c r="P78" i="2"/>
  <c r="AB78" i="2"/>
  <c r="AC79" i="2"/>
  <c r="Q79" i="2"/>
  <c r="AC50" i="2"/>
  <c r="AD80" i="2"/>
  <c r="AD51" i="2"/>
  <c r="R51" i="2"/>
  <c r="AE81" i="2"/>
  <c r="S81" i="2"/>
  <c r="AE52" i="2"/>
  <c r="S52" i="2"/>
  <c r="T82" i="2"/>
  <c r="AF82" i="2"/>
  <c r="AF53" i="2"/>
  <c r="P88" i="2"/>
  <c r="P59" i="2"/>
  <c r="AD90" i="2"/>
  <c r="R90" i="2"/>
  <c r="AD61" i="2"/>
  <c r="R61" i="2"/>
  <c r="AE62" i="2"/>
  <c r="S62" i="2"/>
  <c r="AE91" i="2"/>
  <c r="T92" i="2"/>
  <c r="AF92" i="2"/>
  <c r="AB49" i="2"/>
  <c r="AF57" i="2"/>
  <c r="AB88" i="2"/>
  <c r="Q23" i="4"/>
  <c r="AB23" i="4" s="1"/>
  <c r="F16" i="4"/>
  <c r="Q25" i="4" s="1"/>
  <c r="AB25" i="4" s="1"/>
  <c r="K14" i="2"/>
  <c r="AB44" i="2"/>
  <c r="P44" i="2"/>
  <c r="AC76" i="2"/>
  <c r="Q47" i="2"/>
  <c r="AC47" i="2"/>
  <c r="Q76" i="2"/>
  <c r="AE78" i="2"/>
  <c r="S49" i="2"/>
  <c r="AF79" i="2"/>
  <c r="T79" i="2"/>
  <c r="AF50" i="2"/>
  <c r="T50" i="2"/>
  <c r="K24" i="2"/>
  <c r="P83" i="2"/>
  <c r="AB54" i="2"/>
  <c r="P54" i="2"/>
  <c r="AC86" i="2"/>
  <c r="Q57" i="2"/>
  <c r="AC57" i="2"/>
  <c r="AD87" i="2"/>
  <c r="R87" i="2"/>
  <c r="AE88" i="2"/>
  <c r="S59" i="2"/>
  <c r="S88" i="2"/>
  <c r="AF89" i="2"/>
  <c r="AF60" i="2"/>
  <c r="T60" i="2"/>
  <c r="T89" i="2"/>
  <c r="K34" i="2"/>
  <c r="M25" i="3"/>
  <c r="W25" i="3"/>
  <c r="W47" i="3"/>
  <c r="M47" i="3"/>
  <c r="C40" i="3"/>
  <c r="M48" i="3" s="1"/>
  <c r="E15" i="5"/>
  <c r="O24" i="5"/>
  <c r="Y24" i="5" s="1"/>
  <c r="D52" i="5"/>
  <c r="I144" i="1"/>
  <c r="I145" i="1" s="1"/>
  <c r="K13" i="2"/>
  <c r="AB72" i="2"/>
  <c r="P72" i="2"/>
  <c r="AC44" i="2"/>
  <c r="Q44" i="2"/>
  <c r="AD76" i="2"/>
  <c r="R76" i="2"/>
  <c r="AE77" i="2"/>
  <c r="S77" i="2"/>
  <c r="T78" i="2"/>
  <c r="AF78" i="2"/>
  <c r="AF49" i="2"/>
  <c r="T49" i="2"/>
  <c r="K23" i="2"/>
  <c r="AC83" i="2"/>
  <c r="Q83" i="2"/>
  <c r="AC54" i="2"/>
  <c r="Q54" i="2"/>
  <c r="AE87" i="2"/>
  <c r="S87" i="2"/>
  <c r="T88" i="2"/>
  <c r="AF88" i="2"/>
  <c r="AF59" i="2"/>
  <c r="T59" i="2"/>
  <c r="P92" i="2"/>
  <c r="AB92" i="2"/>
  <c r="AD48" i="2"/>
  <c r="AE59" i="2"/>
  <c r="AD77" i="2"/>
  <c r="B144" i="1"/>
  <c r="B145" i="1" s="1"/>
  <c r="J144" i="1"/>
  <c r="J145" i="1" s="1"/>
  <c r="AB71" i="2"/>
  <c r="P71" i="2"/>
  <c r="AC72" i="2"/>
  <c r="Q72" i="2"/>
  <c r="AC43" i="2"/>
  <c r="Q43" i="2"/>
  <c r="S76" i="2"/>
  <c r="AE76" i="2"/>
  <c r="K22" i="2"/>
  <c r="AC82" i="2"/>
  <c r="AC53" i="2"/>
  <c r="Q53" i="2"/>
  <c r="R83" i="2"/>
  <c r="AD83" i="2"/>
  <c r="S86" i="2"/>
  <c r="AE86" i="2"/>
  <c r="T87" i="2"/>
  <c r="AF58" i="2"/>
  <c r="K32" i="2"/>
  <c r="AB91" i="2"/>
  <c r="P91" i="2"/>
  <c r="AC92" i="2"/>
  <c r="AC63" i="2"/>
  <c r="Q63" i="2"/>
  <c r="AD54" i="2"/>
  <c r="AF77" i="2"/>
  <c r="AB83" i="2"/>
  <c r="AF87" i="2"/>
  <c r="W23" i="3"/>
  <c r="AG77" i="2"/>
  <c r="AG48" i="2"/>
  <c r="D24" i="6"/>
  <c r="U82" i="2"/>
  <c r="AG87" i="2"/>
  <c r="AG58" i="2"/>
  <c r="U88" i="2"/>
  <c r="AG88" i="2"/>
  <c r="AG91" i="2"/>
  <c r="U91" i="2"/>
  <c r="O44" i="2"/>
  <c r="AA44" i="2"/>
  <c r="U48" i="2"/>
  <c r="O54" i="2"/>
  <c r="AA54" i="2"/>
  <c r="U58" i="2"/>
  <c r="O76" i="2"/>
  <c r="U77" i="2"/>
  <c r="AG79" i="2"/>
  <c r="AA82" i="2"/>
  <c r="O83" i="2"/>
  <c r="V25" i="3"/>
  <c r="Q24" i="5"/>
  <c r="AA24" i="5" s="1"/>
  <c r="D32" i="6"/>
  <c r="K18" i="2"/>
  <c r="K19" i="2"/>
  <c r="K20" i="2"/>
  <c r="K21" i="2"/>
  <c r="K28" i="2"/>
  <c r="K29" i="2"/>
  <c r="K30" i="2"/>
  <c r="K31" i="2"/>
  <c r="K33" i="2"/>
  <c r="U42" i="2"/>
  <c r="O47" i="2"/>
  <c r="AA47" i="2"/>
  <c r="U49" i="2"/>
  <c r="AG49" i="2"/>
  <c r="O57" i="2"/>
  <c r="U59" i="2"/>
  <c r="AG59" i="2"/>
  <c r="U87" i="2"/>
  <c r="D16" i="4"/>
  <c r="O25" i="4" s="1"/>
  <c r="Z25" i="4" s="1"/>
  <c r="O23" i="4"/>
  <c r="Z23" i="4" s="1"/>
  <c r="G52" i="5"/>
  <c r="AA80" i="2"/>
  <c r="O80" i="2"/>
  <c r="O82" i="2"/>
  <c r="O53" i="2"/>
  <c r="AA86" i="2"/>
  <c r="O86" i="2"/>
  <c r="AA90" i="2"/>
  <c r="O90" i="2"/>
  <c r="AA92" i="2"/>
  <c r="O92" i="2"/>
  <c r="O63" i="2"/>
  <c r="AG42" i="2"/>
  <c r="U50" i="2"/>
  <c r="AG50" i="2"/>
  <c r="AG51" i="2"/>
  <c r="U60" i="2"/>
  <c r="AG60" i="2"/>
  <c r="AG61" i="2"/>
  <c r="U81" i="2"/>
  <c r="AG83" i="2"/>
  <c r="AA89" i="2"/>
  <c r="AA23" i="3"/>
  <c r="Q23" i="3"/>
  <c r="M25" i="5"/>
  <c r="W25" i="5" s="1"/>
  <c r="C16" i="5"/>
  <c r="X23" i="3"/>
  <c r="N23" i="3"/>
  <c r="D15" i="3"/>
  <c r="AA47" i="3"/>
  <c r="Q47" i="3"/>
  <c r="G40" i="3"/>
  <c r="Q48" i="3" s="1"/>
  <c r="J15" i="4"/>
  <c r="C16" i="4"/>
  <c r="N25" i="4" s="1"/>
  <c r="Y25" i="4" s="1"/>
  <c r="P50" i="4"/>
  <c r="AA50" i="4" s="1"/>
  <c r="H52" i="5"/>
  <c r="J14" i="4"/>
  <c r="J68" i="4"/>
  <c r="M81" i="4"/>
  <c r="X81" i="4" s="1"/>
  <c r="J50" i="4"/>
  <c r="M104" i="4"/>
  <c r="X104" i="4" s="1"/>
  <c r="J91" i="4"/>
  <c r="D12" i="6"/>
  <c r="P75" i="4"/>
  <c r="AA75" i="4" s="1"/>
  <c r="G15" i="5"/>
  <c r="F40" i="3"/>
  <c r="P48" i="3" s="1"/>
  <c r="P47" i="3"/>
  <c r="N98" i="4"/>
  <c r="Y98" i="4" s="1"/>
  <c r="B15" i="5"/>
  <c r="AI86" i="2" l="1"/>
  <c r="W86" i="2"/>
  <c r="AI57" i="2"/>
  <c r="W57" i="2"/>
  <c r="D38" i="6"/>
  <c r="S93" i="1"/>
  <c r="AD93" i="1" s="1"/>
  <c r="S143" i="1"/>
  <c r="AD143" i="1" s="1"/>
  <c r="H44" i="1"/>
  <c r="L51" i="5"/>
  <c r="V51" i="5" s="1"/>
  <c r="B42" i="5"/>
  <c r="M123" i="1"/>
  <c r="X123" i="1" s="1"/>
  <c r="J23" i="1"/>
  <c r="M73" i="1"/>
  <c r="X73" i="1" s="1"/>
  <c r="M93" i="1"/>
  <c r="X93" i="1" s="1"/>
  <c r="M143" i="1"/>
  <c r="X143" i="1" s="1"/>
  <c r="N143" i="1"/>
  <c r="Y143" i="1" s="1"/>
  <c r="N93" i="1"/>
  <c r="Y93" i="1" s="1"/>
  <c r="W79" i="2"/>
  <c r="AI50" i="2"/>
  <c r="AI79" i="2"/>
  <c r="W50" i="2"/>
  <c r="L56" i="5"/>
  <c r="I42" i="5"/>
  <c r="V56" i="5" s="1"/>
  <c r="S51" i="5"/>
  <c r="AC51" i="5" s="1"/>
  <c r="N134" i="1"/>
  <c r="Y134" i="1" s="1"/>
  <c r="C35" i="1"/>
  <c r="N84" i="1"/>
  <c r="Y84" i="1" s="1"/>
  <c r="U114" i="1"/>
  <c r="AF114" i="1" s="1"/>
  <c r="U64" i="1"/>
  <c r="AF64" i="1" s="1"/>
  <c r="Q25" i="5"/>
  <c r="AA25" i="5" s="1"/>
  <c r="G16" i="5"/>
  <c r="X25" i="3"/>
  <c r="N25" i="3"/>
  <c r="E15" i="3"/>
  <c r="AI76" i="2"/>
  <c r="AI47" i="2"/>
  <c r="W47" i="2"/>
  <c r="W76" i="2"/>
  <c r="J34" i="1"/>
  <c r="M134" i="1"/>
  <c r="X134" i="1" s="1"/>
  <c r="B35" i="1"/>
  <c r="M84" i="1"/>
  <c r="X84" i="1" s="1"/>
  <c r="W89" i="2"/>
  <c r="AI60" i="2"/>
  <c r="AI89" i="2"/>
  <c r="W60" i="2"/>
  <c r="N131" i="1"/>
  <c r="Y131" i="1" s="1"/>
  <c r="N81" i="1"/>
  <c r="Y81" i="1" s="1"/>
  <c r="Q51" i="5"/>
  <c r="AA51" i="5" s="1"/>
  <c r="G42" i="5"/>
  <c r="O134" i="1"/>
  <c r="Z134" i="1" s="1"/>
  <c r="D35" i="1"/>
  <c r="O84" i="1"/>
  <c r="Z84" i="1" s="1"/>
  <c r="O143" i="1"/>
  <c r="Z143" i="1" s="1"/>
  <c r="O93" i="1"/>
  <c r="Z93" i="1" s="1"/>
  <c r="L25" i="5"/>
  <c r="V25" i="5" s="1"/>
  <c r="B16" i="5"/>
  <c r="U24" i="4"/>
  <c r="AF24" i="4" s="1"/>
  <c r="M31" i="4"/>
  <c r="X31" i="4" s="1"/>
  <c r="AI71" i="2"/>
  <c r="W71" i="2"/>
  <c r="W42" i="2"/>
  <c r="AI42" i="2"/>
  <c r="U49" i="4"/>
  <c r="AF49" i="4" s="1"/>
  <c r="M56" i="4"/>
  <c r="X56" i="4" s="1"/>
  <c r="U113" i="1"/>
  <c r="AF113" i="1" s="1"/>
  <c r="U63" i="1"/>
  <c r="AF63" i="1" s="1"/>
  <c r="AI80" i="2"/>
  <c r="W80" i="2"/>
  <c r="W51" i="2"/>
  <c r="AI51" i="2"/>
  <c r="J31" i="1"/>
  <c r="M131" i="1"/>
  <c r="X131" i="1" s="1"/>
  <c r="M81" i="1"/>
  <c r="X81" i="1" s="1"/>
  <c r="F42" i="5"/>
  <c r="P51" i="5"/>
  <c r="Z51" i="5" s="1"/>
  <c r="M50" i="4"/>
  <c r="X50" i="4" s="1"/>
  <c r="J41" i="4"/>
  <c r="U118" i="1"/>
  <c r="AF118" i="1" s="1"/>
  <c r="U68" i="1"/>
  <c r="AF68" i="1" s="1"/>
  <c r="S85" i="1"/>
  <c r="AD85" i="1" s="1"/>
  <c r="H37" i="1"/>
  <c r="S135" i="1"/>
  <c r="AD135" i="1" s="1"/>
  <c r="P135" i="1"/>
  <c r="AA135" i="1" s="1"/>
  <c r="P85" i="1"/>
  <c r="AA85" i="1" s="1"/>
  <c r="E37" i="1"/>
  <c r="U66" i="1"/>
  <c r="AF66" i="1" s="1"/>
  <c r="U116" i="1"/>
  <c r="AF116" i="1" s="1"/>
  <c r="U121" i="1"/>
  <c r="U71" i="1"/>
  <c r="AF71" i="1" s="1"/>
  <c r="U70" i="1"/>
  <c r="AF70" i="1" s="1"/>
  <c r="U120" i="1"/>
  <c r="AF120" i="1" s="1"/>
  <c r="U132" i="1"/>
  <c r="AF132" i="1" s="1"/>
  <c r="U82" i="1"/>
  <c r="AF82" i="1" s="1"/>
  <c r="U81" i="4"/>
  <c r="AF81" i="4" s="1"/>
  <c r="U75" i="4"/>
  <c r="AF75" i="4" s="1"/>
  <c r="W77" i="2"/>
  <c r="AI48" i="2"/>
  <c r="W48" i="2"/>
  <c r="AI77" i="2"/>
  <c r="AI81" i="2"/>
  <c r="AI52" i="2"/>
  <c r="W81" i="2"/>
  <c r="W52" i="2"/>
  <c r="T135" i="1"/>
  <c r="AE135" i="1" s="1"/>
  <c r="T85" i="1"/>
  <c r="AE85" i="1" s="1"/>
  <c r="I37" i="1"/>
  <c r="J16" i="4"/>
  <c r="M30" i="4"/>
  <c r="X30" i="4" s="1"/>
  <c r="U23" i="4"/>
  <c r="AF23" i="4" s="1"/>
  <c r="O25" i="5"/>
  <c r="Y25" i="5" s="1"/>
  <c r="E16" i="5"/>
  <c r="M51" i="5"/>
  <c r="W51" i="5" s="1"/>
  <c r="C42" i="5"/>
  <c r="N51" i="5"/>
  <c r="X51" i="5" s="1"/>
  <c r="D42" i="5"/>
  <c r="S73" i="1"/>
  <c r="AD73" i="1" s="1"/>
  <c r="S123" i="1"/>
  <c r="AD123" i="1" s="1"/>
  <c r="U62" i="1"/>
  <c r="AF62" i="1" s="1"/>
  <c r="U112" i="1"/>
  <c r="AF112" i="1" s="1"/>
  <c r="J187" i="1"/>
  <c r="W88" i="2"/>
  <c r="AI88" i="2"/>
  <c r="AI59" i="2"/>
  <c r="W59" i="2"/>
  <c r="O69" i="1"/>
  <c r="Z69" i="1" s="1"/>
  <c r="O119" i="1"/>
  <c r="Z119" i="1" s="1"/>
  <c r="R51" i="5"/>
  <c r="AB51" i="5" s="1"/>
  <c r="H42" i="5"/>
  <c r="U67" i="1"/>
  <c r="AF67" i="1" s="1"/>
  <c r="U117" i="1"/>
  <c r="AF117" i="1" s="1"/>
  <c r="U143" i="1"/>
  <c r="AF143" i="1" s="1"/>
  <c r="U93" i="1"/>
  <c r="AF93" i="1" s="1"/>
  <c r="J52" i="1"/>
  <c r="U102" i="1" s="1"/>
  <c r="AF102" i="1" s="1"/>
  <c r="P119" i="1"/>
  <c r="AA119" i="1" s="1"/>
  <c r="P69" i="1"/>
  <c r="AA69" i="1" s="1"/>
  <c r="Q135" i="1"/>
  <c r="AB135" i="1" s="1"/>
  <c r="F37" i="1"/>
  <c r="Q85" i="1"/>
  <c r="AB85" i="1" s="1"/>
  <c r="W78" i="2"/>
  <c r="W49" i="2"/>
  <c r="AI49" i="2"/>
  <c r="AI78" i="2"/>
  <c r="AI92" i="2"/>
  <c r="W92" i="2"/>
  <c r="W63" i="2"/>
  <c r="AI63" i="2"/>
  <c r="W82" i="2"/>
  <c r="W53" i="2"/>
  <c r="AI53" i="2"/>
  <c r="AI82" i="2"/>
  <c r="U48" i="4"/>
  <c r="AF48" i="4" s="1"/>
  <c r="M55" i="4"/>
  <c r="X55" i="4" s="1"/>
  <c r="M69" i="1"/>
  <c r="X69" i="1" s="1"/>
  <c r="J19" i="1"/>
  <c r="M119" i="1"/>
  <c r="X119" i="1" s="1"/>
  <c r="AI91" i="2"/>
  <c r="W91" i="2"/>
  <c r="AI62" i="2"/>
  <c r="W62" i="2"/>
  <c r="N123" i="1"/>
  <c r="Y123" i="1" s="1"/>
  <c r="N73" i="1"/>
  <c r="Y73" i="1" s="1"/>
  <c r="AI58" i="2"/>
  <c r="W58" i="2"/>
  <c r="AI87" i="2"/>
  <c r="W87" i="2"/>
  <c r="AI90" i="2"/>
  <c r="AI61" i="2"/>
  <c r="W90" i="2"/>
  <c r="W61" i="2"/>
  <c r="W43" i="2"/>
  <c r="AI72" i="2"/>
  <c r="AI43" i="2"/>
  <c r="W72" i="2"/>
  <c r="U133" i="1"/>
  <c r="AF133" i="1" s="1"/>
  <c r="U83" i="1"/>
  <c r="AF83" i="1" s="1"/>
  <c r="N119" i="1"/>
  <c r="Y119" i="1" s="1"/>
  <c r="N69" i="1"/>
  <c r="Y69" i="1" s="1"/>
  <c r="U115" i="1"/>
  <c r="AF115" i="1" s="1"/>
  <c r="U65" i="1"/>
  <c r="AF65" i="1" s="1"/>
  <c r="G37" i="1"/>
  <c r="R135" i="1"/>
  <c r="AC135" i="1" s="1"/>
  <c r="R85" i="1"/>
  <c r="AC85" i="1" s="1"/>
  <c r="S144" i="1" l="1"/>
  <c r="AD144" i="1" s="1"/>
  <c r="S94" i="1"/>
  <c r="AD94" i="1" s="1"/>
  <c r="H54" i="1"/>
  <c r="S104" i="1" s="1"/>
  <c r="AD104" i="1" s="1"/>
  <c r="O25" i="3"/>
  <c r="Y25" i="3"/>
  <c r="F15" i="3"/>
  <c r="U123" i="1"/>
  <c r="AF123" i="1" s="1"/>
  <c r="U73" i="1"/>
  <c r="AF73" i="1" s="1"/>
  <c r="U131" i="1"/>
  <c r="AF131" i="1" s="1"/>
  <c r="U81" i="1"/>
  <c r="AF81" i="1" s="1"/>
  <c r="B37" i="1"/>
  <c r="J35" i="1"/>
  <c r="M85" i="1"/>
  <c r="X85" i="1" s="1"/>
  <c r="M135" i="1"/>
  <c r="X135" i="1" s="1"/>
  <c r="Q137" i="1"/>
  <c r="AB137" i="1" s="1"/>
  <c r="Q87" i="1"/>
  <c r="AB87" i="1" s="1"/>
  <c r="F44" i="1"/>
  <c r="D36" i="6"/>
  <c r="S87" i="1"/>
  <c r="AD87" i="1" s="1"/>
  <c r="S137" i="1"/>
  <c r="AD137" i="1" s="1"/>
  <c r="D37" i="6" s="1"/>
  <c r="U119" i="1"/>
  <c r="AF119" i="1" s="1"/>
  <c r="U69" i="1"/>
  <c r="AF69" i="1" s="1"/>
  <c r="M32" i="4"/>
  <c r="X32" i="4" s="1"/>
  <c r="U25" i="4"/>
  <c r="AF25" i="4" s="1"/>
  <c r="T87" i="1"/>
  <c r="AE87" i="1" s="1"/>
  <c r="T137" i="1"/>
  <c r="AE137" i="1" s="1"/>
  <c r="I44" i="1"/>
  <c r="O135" i="1"/>
  <c r="Z135" i="1" s="1"/>
  <c r="O85" i="1"/>
  <c r="Z85" i="1" s="1"/>
  <c r="D37" i="1"/>
  <c r="N85" i="1"/>
  <c r="Y85" i="1" s="1"/>
  <c r="C37" i="1"/>
  <c r="N135" i="1"/>
  <c r="Y135" i="1" s="1"/>
  <c r="R137" i="1"/>
  <c r="AC137" i="1" s="1"/>
  <c r="R87" i="1"/>
  <c r="AC87" i="1" s="1"/>
  <c r="G44" i="1"/>
  <c r="P137" i="1"/>
  <c r="AA137" i="1" s="1"/>
  <c r="P87" i="1"/>
  <c r="AA87" i="1" s="1"/>
  <c r="E44" i="1"/>
  <c r="M57" i="4"/>
  <c r="X57" i="4" s="1"/>
  <c r="U50" i="4"/>
  <c r="AF50" i="4" s="1"/>
  <c r="U134" i="1"/>
  <c r="AF134" i="1" s="1"/>
  <c r="U84" i="1"/>
  <c r="AF84" i="1" s="1"/>
  <c r="M87" i="1" l="1"/>
  <c r="X87" i="1" s="1"/>
  <c r="M137" i="1"/>
  <c r="X137" i="1" s="1"/>
  <c r="J37" i="1"/>
  <c r="B44" i="1"/>
  <c r="N137" i="1"/>
  <c r="Y137" i="1" s="1"/>
  <c r="N87" i="1"/>
  <c r="Y87" i="1" s="1"/>
  <c r="C44" i="1"/>
  <c r="P144" i="1"/>
  <c r="AA144" i="1" s="1"/>
  <c r="E54" i="1"/>
  <c r="P104" i="1" s="1"/>
  <c r="AA104" i="1" s="1"/>
  <c r="P94" i="1"/>
  <c r="AA94" i="1" s="1"/>
  <c r="O137" i="1"/>
  <c r="Z137" i="1" s="1"/>
  <c r="O87" i="1"/>
  <c r="Z87" i="1" s="1"/>
  <c r="D44" i="1"/>
  <c r="G15" i="3"/>
  <c r="P25" i="3"/>
  <c r="Z25" i="3"/>
  <c r="R94" i="1"/>
  <c r="AC94" i="1" s="1"/>
  <c r="G54" i="1"/>
  <c r="R104" i="1" s="1"/>
  <c r="AC104" i="1" s="1"/>
  <c r="R144" i="1"/>
  <c r="AC144" i="1" s="1"/>
  <c r="U85" i="1"/>
  <c r="AF85" i="1" s="1"/>
  <c r="U135" i="1"/>
  <c r="AF135" i="1" s="1"/>
  <c r="T144" i="1"/>
  <c r="AE144" i="1" s="1"/>
  <c r="T94" i="1"/>
  <c r="AE94" i="1" s="1"/>
  <c r="I54" i="1"/>
  <c r="T104" i="1" s="1"/>
  <c r="AE104" i="1" s="1"/>
  <c r="Q94" i="1"/>
  <c r="AB94" i="1" s="1"/>
  <c r="Q144" i="1"/>
  <c r="AB144" i="1" s="1"/>
  <c r="F54" i="1"/>
  <c r="Q104" i="1" s="1"/>
  <c r="AB104" i="1" s="1"/>
  <c r="M94" i="1" l="1"/>
  <c r="X94" i="1" s="1"/>
  <c r="B54" i="1"/>
  <c r="M144" i="1"/>
  <c r="X144" i="1" s="1"/>
  <c r="N144" i="1"/>
  <c r="Y144" i="1" s="1"/>
  <c r="N94" i="1"/>
  <c r="Y94" i="1" s="1"/>
  <c r="C54" i="1"/>
  <c r="N104" i="1" s="1"/>
  <c r="Y104" i="1" s="1"/>
  <c r="H15" i="3"/>
  <c r="AA25" i="3"/>
  <c r="Q25" i="3"/>
  <c r="O144" i="1"/>
  <c r="Z144" i="1" s="1"/>
  <c r="D54" i="1"/>
  <c r="O104" i="1" s="1"/>
  <c r="Z104" i="1" s="1"/>
  <c r="O94" i="1"/>
  <c r="Z94" i="1" s="1"/>
  <c r="U87" i="1"/>
  <c r="AF87" i="1" s="1"/>
  <c r="U137" i="1"/>
  <c r="AF137" i="1" s="1"/>
  <c r="J44" i="1"/>
  <c r="U94" i="1" l="1"/>
  <c r="AF94" i="1" s="1"/>
  <c r="U144" i="1"/>
  <c r="AF144" i="1" s="1"/>
  <c r="AB25" i="3"/>
  <c r="R25" i="3"/>
  <c r="I15" i="3"/>
  <c r="J54" i="1"/>
  <c r="U104" i="1" s="1"/>
  <c r="AF104" i="1" s="1"/>
  <c r="M104" i="1"/>
  <c r="X104" i="1" s="1"/>
  <c r="L30" i="3" l="1"/>
  <c r="AC25" i="3"/>
  <c r="S2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Bob</author>
  </authors>
  <commentList>
    <comment ref="A71" authorId="0" shapeId="0" xr:uid="{BD559E1F-2580-41F5-8027-743C68683D90}">
      <text>
        <r>
          <rPr>
            <b/>
            <sz val="8"/>
            <color indexed="81"/>
            <rFont val="Tahoma"/>
            <family val="2"/>
          </rPr>
          <t>Ofgem:</t>
        </r>
        <r>
          <rPr>
            <sz val="8"/>
            <color indexed="81"/>
            <rFont val="Tahoma"/>
            <family val="2"/>
          </rPr>
          <t xml:space="preserve">
Any concentration level at any location in the building. Data to include all GIB instances including those reportable under RIDDOR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Ruth Irvine</author>
  </authors>
  <commentList>
    <comment ref="B23" authorId="0" shapeId="0" xr:uid="{C76B8CCA-5381-4D52-9DC9-C2966BEB381E}">
      <text>
        <r>
          <rPr>
            <b/>
            <sz val="8"/>
            <color indexed="81"/>
            <rFont val="Tahoma"/>
            <family val="2"/>
          </rPr>
          <t>revised baseline based on lastest shrinkage/leakage model - informed as part of the SQ process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9" authorId="0" shapeId="0" xr:uid="{7D2433E3-D258-4859-9224-14715210513B}">
      <text>
        <r>
          <rPr>
            <b/>
            <sz val="8"/>
            <color indexed="81"/>
            <rFont val="Tahoma"/>
            <family val="2"/>
          </rPr>
          <t>revised baseline based on lastest shrinkage/leakage model - informed as part of the SQ process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<sst xmlns="http://schemas.openxmlformats.org/spreadsheetml/2006/main" count="1122" uniqueCount="256">
  <si>
    <t>2.2 Summary of totex costs</t>
  </si>
  <si>
    <t>Current year RRP submission - £m</t>
  </si>
  <si>
    <t>Actuals</t>
  </si>
  <si>
    <t>Current year actuals</t>
  </si>
  <si>
    <t>Forecast</t>
  </si>
  <si>
    <t xml:space="preserve"> Forecast RIIO Total</t>
  </si>
  <si>
    <t>Controllable costs by activity</t>
  </si>
  <si>
    <t>LTS, storage and entry</t>
  </si>
  <si>
    <t>Connections</t>
  </si>
  <si>
    <t>Mains Reinforcement</t>
  </si>
  <si>
    <t>Governors (Replacement)</t>
  </si>
  <si>
    <t>Other Capex</t>
  </si>
  <si>
    <t>of which IT</t>
  </si>
  <si>
    <t>of which Vehicles</t>
  </si>
  <si>
    <t xml:space="preserve">Total Capex </t>
  </si>
  <si>
    <t>HSE driven mains &amp; services</t>
  </si>
  <si>
    <t>Non-HSE driven mains &amp; services</t>
  </si>
  <si>
    <t>Risers</t>
  </si>
  <si>
    <t xml:space="preserve">Total Repex </t>
  </si>
  <si>
    <t>Work Management</t>
  </si>
  <si>
    <t>Emergency</t>
  </si>
  <si>
    <t>Repair</t>
  </si>
  <si>
    <t>Maintenance</t>
  </si>
  <si>
    <t>Statutory independent undertakings (SIUs)</t>
  </si>
  <si>
    <t>Other Direct Activities</t>
  </si>
  <si>
    <t>of which xoserve</t>
  </si>
  <si>
    <t>Total Direct Opex</t>
  </si>
  <si>
    <t>Business support</t>
  </si>
  <si>
    <t>Training &amp; Apprentices</t>
  </si>
  <si>
    <t>Total Indirect Opex</t>
  </si>
  <si>
    <t>Total Opex</t>
  </si>
  <si>
    <t>Of which total sub-deducts</t>
  </si>
  <si>
    <t>Total Controllable costs</t>
  </si>
  <si>
    <t>Non-Controllable costs</t>
  </si>
  <si>
    <t>Licence/network/other</t>
  </si>
  <si>
    <t>NTS exit costs</t>
  </si>
  <si>
    <t>Shrinkage</t>
  </si>
  <si>
    <t>NTS pensions contributions</t>
  </si>
  <si>
    <t>Total non-controllable costs</t>
  </si>
  <si>
    <t>Total funded costs - including uncertainties</t>
  </si>
  <si>
    <t>Of which:  uncertainties*:</t>
  </si>
  <si>
    <t>Smart metering</t>
  </si>
  <si>
    <t>Streetworks</t>
  </si>
  <si>
    <t>Physical Security Upgrade Programme (PSUP)</t>
  </si>
  <si>
    <t>Other</t>
  </si>
  <si>
    <t>Total uncertainties*</t>
  </si>
  <si>
    <t>Total funded costs - excluding uncertainties*</t>
  </si>
  <si>
    <t>Previous year RRP submission - £m</t>
  </si>
  <si>
    <t>Variance from previous year</t>
  </si>
  <si>
    <t>% Variance from previous year</t>
  </si>
  <si>
    <t>Multi occupancy buildings (MoBs)</t>
  </si>
  <si>
    <t>Total sub-deducts</t>
  </si>
  <si>
    <t>Final proposals adjusted with agreed uncertainties - £m</t>
  </si>
  <si>
    <t>Variance from final proposals adjusted with uncertainties</t>
  </si>
  <si>
    <t>% Variance from final proposals adjusted with uncertainties</t>
  </si>
  <si>
    <t>Ofgem Allowance (Post IQI) £m</t>
  </si>
  <si>
    <t>of which Xoserve</t>
  </si>
  <si>
    <t>Total funded costs - including agreed uncertainties**</t>
  </si>
  <si>
    <t>Final proposals - £m</t>
  </si>
  <si>
    <t>2009/10 prices</t>
  </si>
  <si>
    <t>Total funded costs</t>
  </si>
  <si>
    <t>Total Incl Agreed Uncertainties** £m</t>
  </si>
  <si>
    <t>2009-10 prices</t>
  </si>
  <si>
    <t>Uncertainty</t>
  </si>
  <si>
    <t>RIIO Total</t>
  </si>
  <si>
    <t>PSUP</t>
  </si>
  <si>
    <t>SIUs</t>
  </si>
  <si>
    <t>Other - fuel poor</t>
  </si>
  <si>
    <t>Tier 2A adjustment</t>
  </si>
  <si>
    <t>Xoserve Capex</t>
  </si>
  <si>
    <t>Xoserve Opex</t>
  </si>
  <si>
    <t>Total</t>
  </si>
  <si>
    <t>check</t>
  </si>
  <si>
    <t>Agreed uncertainties** by activity £m</t>
  </si>
  <si>
    <t>* These are uncertainties where a reopener has yet to be triggered and no decision on setting an allowance has been made.</t>
  </si>
  <si>
    <t>** Agreed uncertainties are where a reopener has been triggered and a decision has been made by Ofgem.</t>
  </si>
  <si>
    <t>2.3 Summary of workload</t>
  </si>
  <si>
    <t>Current year RRP submission - Workload</t>
  </si>
  <si>
    <t>Cost activity</t>
  </si>
  <si>
    <t>Opex</t>
  </si>
  <si>
    <t>Mains condition reports</t>
  </si>
  <si>
    <t>Number</t>
  </si>
  <si>
    <t>Service condition reports</t>
  </si>
  <si>
    <t> No. of holders removed</t>
  </si>
  <si>
    <t>Capex</t>
  </si>
  <si>
    <t>Total mains reinforcement</t>
  </si>
  <si>
    <t>km</t>
  </si>
  <si>
    <t>Total reinforcement Governors</t>
  </si>
  <si>
    <t>Total connection services</t>
  </si>
  <si>
    <t xml:space="preserve"> - New housing services</t>
  </si>
  <si>
    <t xml:space="preserve"> - Existing housing services</t>
  </si>
  <si>
    <t xml:space="preserve"> - Non- domestic services</t>
  </si>
  <si>
    <t xml:space="preserve"> - Fuel poor services </t>
  </si>
  <si>
    <t>Governor intervention</t>
  </si>
  <si>
    <t xml:space="preserve">Number </t>
  </si>
  <si>
    <t>Repex</t>
  </si>
  <si>
    <t>T1 length decommissioned</t>
  </si>
  <si>
    <t>T2 length decommissioned</t>
  </si>
  <si>
    <t>T3 length decommissioned</t>
  </si>
  <si>
    <t>Steel length decommissioned</t>
  </si>
  <si>
    <t>Other length decommissioned</t>
  </si>
  <si>
    <t>No. of services transferred</t>
  </si>
  <si>
    <t>No. of services relaid</t>
  </si>
  <si>
    <t xml:space="preserve">Previous year RRP submission </t>
  </si>
  <si>
    <t>Previous year forecast</t>
  </si>
  <si>
    <t>Units</t>
  </si>
  <si>
    <t>Final proposals</t>
  </si>
  <si>
    <t>Variance from final proposals</t>
  </si>
  <si>
    <t>% Variance from final proposals</t>
  </si>
  <si>
    <t xml:space="preserve">Workload </t>
  </si>
  <si>
    <t>c. 0-1</t>
  </si>
  <si>
    <t>2.4 Summary of safety outputs and secondary deliverables</t>
  </si>
  <si>
    <r>
      <t>Actual/forecast iron mains risk reduction (incidents/year x 10</t>
    </r>
    <r>
      <rPr>
        <b/>
        <vertAlign val="superscript"/>
        <sz val="10"/>
        <color theme="1"/>
        <rFont val="Verdana"/>
        <family val="2"/>
      </rPr>
      <t>-</t>
    </r>
    <r>
      <rPr>
        <b/>
        <vertAlign val="superscript"/>
        <sz val="8"/>
        <color theme="1"/>
        <rFont val="Verdana"/>
        <family val="2"/>
      </rPr>
      <t>6</t>
    </r>
    <r>
      <rPr>
        <b/>
        <sz val="10"/>
        <color theme="1"/>
        <rFont val="Verdana"/>
        <family val="2"/>
      </rPr>
      <t>) - Primary output</t>
    </r>
  </si>
  <si>
    <t>Mains risk b/f</t>
  </si>
  <si>
    <t>Mains risk reduction</t>
  </si>
  <si>
    <t>Main risk c/f</t>
  </si>
  <si>
    <t>Cumulative mains risk reduction</t>
  </si>
  <si>
    <r>
      <t>Previous year forecast iron mains risk reduction (incidents/year x 10</t>
    </r>
    <r>
      <rPr>
        <b/>
        <vertAlign val="superscript"/>
        <sz val="10"/>
        <color theme="1"/>
        <rFont val="Verdana"/>
        <family val="2"/>
      </rPr>
      <t>-</t>
    </r>
    <r>
      <rPr>
        <b/>
        <vertAlign val="superscript"/>
        <sz val="8"/>
        <color theme="1"/>
        <rFont val="Verdana"/>
        <family val="2"/>
      </rPr>
      <t>6</t>
    </r>
    <r>
      <rPr>
        <b/>
        <sz val="10"/>
        <color theme="1"/>
        <rFont val="Verdana"/>
        <family val="2"/>
      </rPr>
      <t>)</t>
    </r>
  </si>
  <si>
    <t>Previous Year Forecast</t>
  </si>
  <si>
    <r>
      <t>Final proposals allowed iron mains risk reduction for RIIO-GD1 (incidents/year x 10</t>
    </r>
    <r>
      <rPr>
        <b/>
        <vertAlign val="superscript"/>
        <sz val="10"/>
        <color theme="1"/>
        <rFont val="Verdana"/>
        <family val="2"/>
      </rPr>
      <t>-</t>
    </r>
    <r>
      <rPr>
        <b/>
        <vertAlign val="superscript"/>
        <sz val="8"/>
        <color theme="1"/>
        <rFont val="Verdana"/>
        <family val="2"/>
      </rPr>
      <t>6</t>
    </r>
    <r>
      <rPr>
        <b/>
        <sz val="10"/>
        <color theme="1"/>
        <rFont val="Verdana"/>
        <family val="2"/>
      </rPr>
      <t>)</t>
    </r>
  </si>
  <si>
    <r>
      <t>Actual/forecast repair risk (x10</t>
    </r>
    <r>
      <rPr>
        <b/>
        <vertAlign val="superscript"/>
        <sz val="10"/>
        <color theme="1"/>
        <rFont val="Verdana"/>
        <family val="2"/>
      </rPr>
      <t>6</t>
    </r>
    <r>
      <rPr>
        <b/>
        <sz val="10"/>
        <color theme="1"/>
        <rFont val="Verdana"/>
        <family val="2"/>
      </rPr>
      <t>)</t>
    </r>
  </si>
  <si>
    <t>Repair risk 2013 (start position)</t>
  </si>
  <si>
    <t>Annual repair risk</t>
  </si>
  <si>
    <t>Movement in risk</t>
  </si>
  <si>
    <r>
      <t>Previous year's forecast repair risK  (x10</t>
    </r>
    <r>
      <rPr>
        <b/>
        <vertAlign val="superscript"/>
        <sz val="10"/>
        <color theme="1"/>
        <rFont val="Verdana"/>
        <family val="2"/>
      </rPr>
      <t>6</t>
    </r>
    <r>
      <rPr>
        <b/>
        <sz val="10"/>
        <color theme="1"/>
        <rFont val="Verdana"/>
        <family val="2"/>
      </rPr>
      <t>)</t>
    </r>
  </si>
  <si>
    <r>
      <t>Variance from previous year  (x10</t>
    </r>
    <r>
      <rPr>
        <b/>
        <vertAlign val="superscript"/>
        <sz val="10"/>
        <color theme="1"/>
        <rFont val="Verdana"/>
        <family val="2"/>
      </rPr>
      <t>6</t>
    </r>
    <r>
      <rPr>
        <b/>
        <sz val="10"/>
        <color theme="1"/>
        <rFont val="Verdana"/>
        <family val="2"/>
      </rPr>
      <t>)</t>
    </r>
  </si>
  <si>
    <t>Repair risk reduction</t>
  </si>
  <si>
    <t>Safety - Emergency response - Primary output</t>
  </si>
  <si>
    <t>Total PREs</t>
  </si>
  <si>
    <t xml:space="preserve">(1) Controllable </t>
  </si>
  <si>
    <t>Number of controlled gas escapes or controlled other gas emergencies reported</t>
  </si>
  <si>
    <t>Number of responses within timescale (2 hours)</t>
  </si>
  <si>
    <t>Percentage of controlled gas escapes responded to within timescale (2 hours)</t>
  </si>
  <si>
    <t>(2) Non-controllable</t>
  </si>
  <si>
    <t>Number of uncontrolled gas escapes or uncontrolled other gas emergencies reported</t>
  </si>
  <si>
    <t>Number of responses within timescale (1 hour)</t>
  </si>
  <si>
    <t>Percentage of uncontrolled gas escapes responded to within timescale (1 hour)</t>
  </si>
  <si>
    <t>Proportion of gas escapes prevented within 12 hrs (secondary deliverable)</t>
  </si>
  <si>
    <t>Gas in Buildings (GIB) events - Iron mains - Secondary deliverable</t>
  </si>
  <si>
    <t xml:space="preserve">GIB events reportable under RIDDOR ie GIB &gt;= 20% LEL or  &gt; 10kg from spun/cast iron fracture or DI corrosion of mains of: </t>
  </si>
  <si>
    <t xml:space="preserve">GIB events (any % level) from spun/cast iron fracture or DI corrosion of mains of: </t>
  </si>
  <si>
    <t>Cast/spun iron fractures and ductile iron corrosion failures - Secondary deliverable</t>
  </si>
  <si>
    <t xml:space="preserve">Number of spun/cast iron fracture or DI corrosion of mains of: </t>
  </si>
  <si>
    <t>Sub-deduct networks - secondary deliverable</t>
  </si>
  <si>
    <t>% off sub-deduct networks taken of risk</t>
  </si>
  <si>
    <t>Cumulative</t>
  </si>
  <si>
    <t>2.5 Summary of reliability outputs and secondary deliverables</t>
  </si>
  <si>
    <t>Summary of loss of supply volumes and duration - primary output</t>
  </si>
  <si>
    <t>Actual/forecast loss of supply volumes (no.)</t>
  </si>
  <si>
    <t>No. of planned interruptions</t>
  </si>
  <si>
    <t>No. of unplanned interruptions</t>
  </si>
  <si>
    <t>Total interruptions</t>
  </si>
  <si>
    <t>Previous year forecast loss of supply volumes (no.)</t>
  </si>
  <si>
    <t>Final proposals allowed loss of supply volumes (no.)</t>
  </si>
  <si>
    <t>Actual/forecast loss of supply duration (mins - million of)</t>
  </si>
  <si>
    <t>Dur. of planned interruptions</t>
  </si>
  <si>
    <t>Dur. of unplanned interruptions</t>
  </si>
  <si>
    <t>Previous year forecast loss of supply duration (mins - million of)</t>
  </si>
  <si>
    <t>Final proposals allowed loss of supply duration (mins - million of)</t>
  </si>
  <si>
    <t>Summary of telemetered faults - secondary deliverables</t>
  </si>
  <si>
    <t>Actual/forecast telemetered faults (fault * duration/no. of telemetered AGIs - "now faults" (hrs))</t>
  </si>
  <si>
    <t>Telemetered faults</t>
  </si>
  <si>
    <t>Previous year forecast telemetered faults (fault * duration/no. of telemetered AGIs - "now faults" (hrs))</t>
  </si>
  <si>
    <t>Final proposals allowed telemetered faults (fault * duration/no. of telemetered AGIs - "now faults" (hrs))</t>
  </si>
  <si>
    <t xml:space="preserve">Final proposals </t>
  </si>
  <si>
    <t>Summary of pressure systems safety regulations (PSSR) faults - secondary deliverables</t>
  </si>
  <si>
    <r>
      <t xml:space="preserve">Actual/forecast PSSR faults (faults as a % of inspections - PSSR A1 and A2 faults or faults/No. of AGIs - PSSR A1 and A2 faults </t>
    </r>
    <r>
      <rPr>
        <b/>
        <i/>
        <sz val="10"/>
        <color theme="1"/>
        <rFont val="Verdana"/>
        <family val="2"/>
      </rPr>
      <t>(delete as appropriate)</t>
    </r>
    <r>
      <rPr>
        <b/>
        <sz val="10"/>
        <color theme="1"/>
        <rFont val="Verdana"/>
        <family val="2"/>
      </rPr>
      <t>)</t>
    </r>
  </si>
  <si>
    <t>PSSR faults (% or No.)</t>
  </si>
  <si>
    <r>
      <t xml:space="preserve">Previous year forecast PSSR faults (faults as a % of inspections - PSSR A1 and A2 faults or faults/No. of AGIs - PSSR A1 and A2 faults </t>
    </r>
    <r>
      <rPr>
        <b/>
        <i/>
        <sz val="10"/>
        <color theme="1"/>
        <rFont val="Verdana"/>
        <family val="2"/>
      </rPr>
      <t>(delete as appropriate)</t>
    </r>
    <r>
      <rPr>
        <b/>
        <sz val="10"/>
        <color theme="1"/>
        <rFont val="Verdana"/>
        <family val="2"/>
      </rPr>
      <t>)</t>
    </r>
  </si>
  <si>
    <r>
      <t xml:space="preserve">Final proposals allowed PSSR faults (faults as a % of inspections - PSSR A1 and A2 faults or faults/No. of AGIs - PSSR A1 and A2 faults </t>
    </r>
    <r>
      <rPr>
        <b/>
        <i/>
        <sz val="10"/>
        <color theme="1"/>
        <rFont val="Verdana"/>
        <family val="2"/>
      </rPr>
      <t>(delete as appropriate)</t>
    </r>
    <r>
      <rPr>
        <b/>
        <sz val="10"/>
        <color theme="1"/>
        <rFont val="Verdana"/>
        <family val="2"/>
      </rPr>
      <t>)</t>
    </r>
  </si>
  <si>
    <t>Number and value of offtake meter error reports</t>
  </si>
  <si>
    <t>Volume of offtake meter errors (GWh)</t>
  </si>
  <si>
    <t>Throughput (GWh)</t>
  </si>
  <si>
    <t>Meter errors/throughput (%)</t>
  </si>
  <si>
    <t>Summary Capacity Utilisation</t>
  </si>
  <si>
    <t>Capacity utilisation</t>
  </si>
  <si>
    <t xml:space="preserve"> </t>
  </si>
  <si>
    <t>&lt;/= 50%</t>
  </si>
  <si>
    <t>&gt;50% to &lt;/=70%</t>
  </si>
  <si>
    <t>&gt;70% to &lt;/=80%</t>
  </si>
  <si>
    <t>&gt;80% to &lt;/=100%</t>
  </si>
  <si>
    <t>&gt;100%</t>
  </si>
  <si>
    <t>Total no. of sites</t>
  </si>
  <si>
    <t>2.6  Summary of environmental outputs - shrinkage and leakage volumes</t>
  </si>
  <si>
    <t>Actual/forecast shrinkage volumes (GWh)</t>
  </si>
  <si>
    <t>Shrinkage volumes at start of RIIO-GD1</t>
  </si>
  <si>
    <t>Shrinkage volume</t>
  </si>
  <si>
    <t>Shrinkage baselines</t>
  </si>
  <si>
    <t>Shrinkage volume reduction</t>
  </si>
  <si>
    <t>% shrinkage volume reduction</t>
  </si>
  <si>
    <t>Previous year forecast shrinkage volumes (GWh)</t>
  </si>
  <si>
    <t>Current year</t>
  </si>
  <si>
    <t>Final proposals allowed shrinkage volumes (GWh)</t>
  </si>
  <si>
    <t>Actual/forecast leakage volumes (GWh)</t>
  </si>
  <si>
    <t>Leakage volumes at start of RIIO-GD1</t>
  </si>
  <si>
    <t>Leakage volume</t>
  </si>
  <si>
    <t>Leakage baselines</t>
  </si>
  <si>
    <t>Leakage volume reduction</t>
  </si>
  <si>
    <t>% Leakage volume reduction</t>
  </si>
  <si>
    <t>Previous year forecast leakage volumes (GWh)</t>
  </si>
  <si>
    <t>Final proposals allowed leakage volumes (GWh)</t>
  </si>
  <si>
    <t>2.7 Performance Snapshot</t>
  </si>
  <si>
    <t>Network</t>
  </si>
  <si>
    <t>Actual 
2019/20</t>
  </si>
  <si>
    <t>Number of customers directly connected to network</t>
  </si>
  <si>
    <t>No.</t>
  </si>
  <si>
    <t>Comparator</t>
  </si>
  <si>
    <t>Total GDN network length all pressure tiers</t>
  </si>
  <si>
    <t>Network reliability</t>
  </si>
  <si>
    <t>Overall network reliability</t>
  </si>
  <si>
    <t>% of full delivery 24/7/365</t>
  </si>
  <si>
    <t>Unplanned customer interruptions - exc major incidents</t>
  </si>
  <si>
    <t>No. of customers affected</t>
  </si>
  <si>
    <t>% per number of total customers</t>
  </si>
  <si>
    <t xml:space="preserve">Average duration in minutes </t>
  </si>
  <si>
    <t>Number of major incidents</t>
  </si>
  <si>
    <t>Number : Customers Effected</t>
  </si>
  <si>
    <t>Customer Satisfaction</t>
  </si>
  <si>
    <t>Customer Satisfaction - unplanned interruptions</t>
  </si>
  <si>
    <t>score out of 10</t>
  </si>
  <si>
    <t>Ofgem target (8.01)</t>
  </si>
  <si>
    <t>Customer Satisfaction - planned interruptions</t>
  </si>
  <si>
    <t>Ofgem target (8.04)</t>
  </si>
  <si>
    <t>Customer Satisfaction - connections</t>
  </si>
  <si>
    <t>Ofgem target (8.09)</t>
  </si>
  <si>
    <t>Complaints metric</t>
  </si>
  <si>
    <t>scoring of complaints resolution</t>
  </si>
  <si>
    <t>Ofgem target - need to be below 11.57</t>
  </si>
  <si>
    <t>% of all quotes issued within timescales set</t>
  </si>
  <si>
    <t>%</t>
  </si>
  <si>
    <t>Ofgem target</t>
  </si>
  <si>
    <t>% of jobs substantially completed on date agreed with the customer</t>
  </si>
  <si>
    <t>Social Obligations</t>
  </si>
  <si>
    <t>Fuel Poor Connections made in year</t>
  </si>
  <si>
    <t>% of fuel poor connections RIIO to date vs period to date target</t>
  </si>
  <si>
    <t>% better than target</t>
  </si>
  <si>
    <t>Safety</t>
  </si>
  <si>
    <t xml:space="preserve">Attend Uncontrolled escape in 1 hr </t>
  </si>
  <si>
    <t>% achieved</t>
  </si>
  <si>
    <t>Ofgem target is 97%</t>
  </si>
  <si>
    <t xml:space="preserve">Attend Controlled escape in 2 hrs </t>
  </si>
  <si>
    <t>Annual repair risk performance vs target</t>
  </si>
  <si>
    <t xml:space="preserve">Iron mains risk removed </t>
  </si>
  <si>
    <t>Environmental Impact</t>
  </si>
  <si>
    <t>Reduction in shrinkage in year (gas emmissions)</t>
  </si>
  <si>
    <t>Volume (GWh)</t>
  </si>
  <si>
    <t>Shrinkage actuals compared to target volume</t>
  </si>
  <si>
    <t>Improved shrinkage %</t>
  </si>
  <si>
    <t xml:space="preserve">Renewable gas connections </t>
  </si>
  <si>
    <t>Number : Volume  (scmh)</t>
  </si>
  <si>
    <t>Financials</t>
  </si>
  <si>
    <t>Totex operating costs</t>
  </si>
  <si>
    <t>£m</t>
  </si>
  <si>
    <t>Ofgem Target</t>
  </si>
  <si>
    <t>% lower Totex than allowance</t>
  </si>
  <si>
    <t>Other pass through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</si>
</sst>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-* #,##0.00_-;\-* #,##0.00_-;_-* &quot;-&quot;??_-;_-@_-"/>
    <numFmt numFmtId="164" formatCode="0.0"/>
    <numFmt numFmtId="165" formatCode="#,##0.0"/>
    <numFmt numFmtId="166" formatCode="_-* #,##0.0_-;\-* #,##0.0_-;_-* &quot;-&quot;??_-;_-@_-"/>
    <numFmt numFmtId="167" formatCode="_(* #,##0.00_);_(* \(#,##0.00\);_(* &quot;-&quot;??_);_(@_)"/>
    <numFmt numFmtId="168" formatCode="#,##0.0;[Red]\(#,##0.0\)"/>
    <numFmt numFmtId="169" formatCode="_-* #,##0.000_-;\-* #,##0.000_-;_-* &quot;-&quot;??_-;_-@_-"/>
    <numFmt numFmtId="170" formatCode="0.0%"/>
    <numFmt numFmtId="171" formatCode="#,##0.00;[Red]\(#,##0.00\)"/>
    <numFmt numFmtId="172" formatCode="#,##0.0%\);[Red]\(#,##0.0%\);\-"/>
    <numFmt numFmtId="173" formatCode="#,##0.000;[Red]\(#,##0.000\)"/>
    <numFmt numFmtId="174" formatCode="#,##0.000;[Red]#,##0.000"/>
    <numFmt numFmtId="175" formatCode="_-* #,##0_-;\-* #,##0_-;_-* &quot;-&quot;??_-;_-@_-"/>
    <numFmt numFmtId="176" formatCode="_(* #,##0.0_);_(* \(#,##0.0\);_(* &quot;-&quot;??_);_(@_)"/>
    <numFmt numFmtId="177" formatCode="#,##0;[Red]\(#,##0\);\-"/>
    <numFmt numFmtId="178" formatCode="#,##0_);[Red]\(#,##0\);\-"/>
    <numFmt numFmtId="179" formatCode="_(* #,##0_);_(* \(#,##0\);_(* &quot;-&quot;??_);_(@_)"/>
    <numFmt numFmtId="180" formatCode="#,##0.000;\(#,##0.000\)"/>
    <numFmt numFmtId="181" formatCode="#,##0;[Red]\(#,##0\)"/>
    <numFmt numFmtId="182" formatCode="0.000%"/>
  </numFmts>
  <fonts count="48">
    <font>
      <sz val="10"/>
      <name val="Arial"/>
    </font>
    <font>
      <sz val="11"/>
      <color theme="1"/>
      <name val="Calibri"/>
      <family val="2"/>
      <scheme val="minor"/>
    </font>
    <font>
      <sz val="11"/>
      <name val="CG Omega"/>
      <family val="2"/>
    </font>
    <font>
      <b/>
      <sz val="20"/>
      <name val="Verdana"/>
      <family val="2"/>
    </font>
    <font>
      <sz val="11"/>
      <name val="Verdana"/>
      <family val="2"/>
    </font>
    <font>
      <sz val="10"/>
      <name val="Arial"/>
      <family val="2"/>
    </font>
    <font>
      <b/>
      <sz val="16"/>
      <color theme="1"/>
      <name val="Verdana"/>
      <family val="2"/>
    </font>
    <font>
      <sz val="10"/>
      <name val="Verdana"/>
      <family val="2"/>
    </font>
    <font>
      <b/>
      <sz val="10"/>
      <color theme="1"/>
      <name val="Verdana"/>
      <family val="2"/>
    </font>
    <font>
      <b/>
      <sz val="10"/>
      <name val="Verdana"/>
      <family val="2"/>
    </font>
    <font>
      <b/>
      <sz val="10"/>
      <color rgb="FFFF0000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12"/>
      <color rgb="FFFF0000"/>
      <name val="Verdana"/>
      <family val="2"/>
    </font>
    <font>
      <b/>
      <i/>
      <sz val="10"/>
      <name val="Verdana"/>
      <family val="2"/>
    </font>
    <font>
      <b/>
      <i/>
      <sz val="10"/>
      <color theme="1"/>
      <name val="Verdana"/>
      <family val="2"/>
    </font>
    <font>
      <i/>
      <sz val="10"/>
      <name val="Verdana"/>
      <family val="2"/>
    </font>
    <font>
      <sz val="10"/>
      <color rgb="FFFF0000"/>
      <name val="Verdana"/>
      <family val="2"/>
    </font>
    <font>
      <b/>
      <u/>
      <sz val="10"/>
      <color rgb="FF000000"/>
      <name val="Verdana"/>
      <family val="2"/>
    </font>
    <font>
      <sz val="10"/>
      <color rgb="FF000000"/>
      <name val="Verdana"/>
      <family val="2"/>
    </font>
    <font>
      <sz val="11"/>
      <color theme="1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10"/>
      <color theme="1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12"/>
      <color theme="1"/>
      <name val="Verdana"/>
      <family val="2"/>
    </font>
    <font>
      <b/>
      <vertAlign val="superscript"/>
      <sz val="10"/>
      <color theme="1"/>
      <name val="Verdana"/>
      <family val="2"/>
    </font>
    <font>
      <b/>
      <vertAlign val="superscript"/>
      <sz val="8"/>
      <color theme="1"/>
      <name val="Verdana"/>
      <family val="2"/>
    </font>
    <font>
      <vertAlign val="subscript"/>
      <sz val="10"/>
      <name val="Verdana"/>
      <family val="2"/>
    </font>
    <font>
      <b/>
      <sz val="10"/>
      <color rgb="FF0070C0"/>
      <name val="Verdana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Verdana"/>
      <family val="2"/>
    </font>
    <font>
      <u/>
      <sz val="10"/>
      <color theme="10"/>
      <name val="Arial"/>
      <family val="2"/>
    </font>
    <font>
      <sz val="20"/>
      <name val="Verdana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b/>
      <sz val="16"/>
      <name val="Verdana"/>
      <family val="2"/>
    </font>
    <font>
      <b/>
      <u/>
      <sz val="11"/>
      <color theme="1"/>
      <name val="Calibri"/>
      <family val="2"/>
    </font>
    <font>
      <u/>
      <sz val="11"/>
      <color theme="1"/>
      <name val="Calibri"/>
      <family val="2"/>
    </font>
    <font>
      <b/>
      <sz val="10"/>
      <color theme="1"/>
      <name val="Calibri"/>
      <family val="2"/>
    </font>
    <font>
      <sz val="10"/>
      <color rgb="FFFF0000"/>
      <name val="Calibri"/>
      <family val="2"/>
    </font>
    <font>
      <sz val="11"/>
      <color theme="1"/>
      <name val="Calibri"/>
      <family val="2"/>
    </font>
    <font>
      <sz val="10"/>
      <name val="Calibri"/>
      <family val="2"/>
    </font>
    <font>
      <b/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00B05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0">
    <xf numFmtId="0" fontId="0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167" fontId="5" fillId="0" borderId="0" applyFont="0" applyFill="0" applyBorder="0" applyAlignment="0" applyProtection="0"/>
    <xf numFmtId="0" fontId="7" fillId="0" borderId="0"/>
    <xf numFmtId="0" fontId="1" fillId="0" borderId="0"/>
    <xf numFmtId="0" fontId="5" fillId="0" borderId="0"/>
    <xf numFmtId="167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5" fillId="0" borderId="0"/>
    <xf numFmtId="0" fontId="2" fillId="0" borderId="0"/>
    <xf numFmtId="9" fontId="5" fillId="0" borderId="0" applyFont="0" applyFill="0" applyBorder="0" applyAlignment="0" applyProtection="0"/>
    <xf numFmtId="0" fontId="23" fillId="0" borderId="0"/>
    <xf numFmtId="0" fontId="2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2" fillId="0" borderId="0"/>
    <xf numFmtId="167" fontId="38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628">
    <xf numFmtId="0" fontId="0" fillId="0" borderId="0" xfId="0"/>
    <xf numFmtId="164" fontId="3" fillId="2" borderId="0" xfId="2" applyNumberFormat="1" applyFont="1" applyFill="1"/>
    <xf numFmtId="0" fontId="4" fillId="2" borderId="0" xfId="2" applyFont="1" applyFill="1"/>
    <xf numFmtId="0" fontId="5" fillId="0" borderId="0" xfId="3"/>
    <xf numFmtId="0" fontId="6" fillId="0" borderId="0" xfId="3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1" xfId="0" applyFont="1" applyBorder="1"/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7" fillId="0" borderId="5" xfId="0" applyFont="1" applyBorder="1"/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0" borderId="5" xfId="0" applyFont="1" applyBorder="1"/>
    <xf numFmtId="0" fontId="8" fillId="3" borderId="6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165" fontId="7" fillId="0" borderId="5" xfId="0" applyNumberFormat="1" applyFont="1" applyBorder="1" applyAlignment="1">
      <alignment vertical="top"/>
    </xf>
    <xf numFmtId="166" fontId="9" fillId="3" borderId="2" xfId="0" applyNumberFormat="1" applyFont="1" applyFill="1" applyBorder="1" applyAlignment="1">
      <alignment vertical="top"/>
    </xf>
    <xf numFmtId="166" fontId="7" fillId="4" borderId="1" xfId="4" applyNumberFormat="1" applyFont="1" applyFill="1" applyBorder="1"/>
    <xf numFmtId="166" fontId="7" fillId="3" borderId="4" xfId="0" applyNumberFormat="1" applyFont="1" applyFill="1" applyBorder="1" applyAlignment="1">
      <alignment vertical="top"/>
    </xf>
    <xf numFmtId="166" fontId="9" fillId="3" borderId="11" xfId="0" applyNumberFormat="1" applyFont="1" applyFill="1" applyBorder="1" applyAlignment="1">
      <alignment vertical="top"/>
    </xf>
    <xf numFmtId="166" fontId="7" fillId="4" borderId="5" xfId="4" applyNumberFormat="1" applyFont="1" applyFill="1" applyBorder="1"/>
    <xf numFmtId="166" fontId="7" fillId="3" borderId="10" xfId="0" applyNumberFormat="1" applyFont="1" applyFill="1" applyBorder="1" applyAlignment="1">
      <alignment vertical="top"/>
    </xf>
    <xf numFmtId="168" fontId="7" fillId="0" borderId="5" xfId="0" applyNumberFormat="1" applyFont="1" applyBorder="1" applyAlignment="1">
      <alignment horizontal="left" vertical="top" indent="1"/>
    </xf>
    <xf numFmtId="166" fontId="11" fillId="3" borderId="11" xfId="0" applyNumberFormat="1" applyFont="1" applyFill="1" applyBorder="1" applyAlignment="1">
      <alignment vertical="top"/>
    </xf>
    <xf numFmtId="166" fontId="12" fillId="3" borderId="10" xfId="0" applyNumberFormat="1" applyFont="1" applyFill="1" applyBorder="1" applyAlignment="1">
      <alignment vertical="top"/>
    </xf>
    <xf numFmtId="166" fontId="7" fillId="4" borderId="9" xfId="4" applyNumberFormat="1" applyFont="1" applyFill="1" applyBorder="1"/>
    <xf numFmtId="165" fontId="9" fillId="0" borderId="12" xfId="0" applyNumberFormat="1" applyFont="1" applyBorder="1" applyAlignment="1">
      <alignment vertical="top"/>
    </xf>
    <xf numFmtId="166" fontId="9" fillId="3" borderId="12" xfId="0" applyNumberFormat="1" applyFont="1" applyFill="1" applyBorder="1" applyAlignment="1">
      <alignment vertical="top"/>
    </xf>
    <xf numFmtId="166" fontId="9" fillId="3" borderId="5" xfId="0" applyNumberFormat="1" applyFont="1" applyFill="1" applyBorder="1" applyAlignment="1">
      <alignment vertical="top"/>
    </xf>
    <xf numFmtId="166" fontId="9" fillId="3" borderId="4" xfId="0" applyNumberFormat="1" applyFont="1" applyFill="1" applyBorder="1" applyAlignment="1">
      <alignment vertical="top"/>
    </xf>
    <xf numFmtId="166" fontId="9" fillId="3" borderId="10" xfId="0" applyNumberFormat="1" applyFont="1" applyFill="1" applyBorder="1" applyAlignment="1">
      <alignment vertical="top"/>
    </xf>
    <xf numFmtId="166" fontId="9" fillId="3" borderId="6" xfId="0" applyNumberFormat="1" applyFont="1" applyFill="1" applyBorder="1" applyAlignment="1">
      <alignment vertical="top"/>
    </xf>
    <xf numFmtId="166" fontId="9" fillId="3" borderId="8" xfId="0" applyNumberFormat="1" applyFont="1" applyFill="1" applyBorder="1" applyAlignment="1">
      <alignment vertical="top"/>
    </xf>
    <xf numFmtId="166" fontId="9" fillId="3" borderId="9" xfId="0" applyNumberFormat="1" applyFont="1" applyFill="1" applyBorder="1" applyAlignment="1">
      <alignment vertical="top"/>
    </xf>
    <xf numFmtId="0" fontId="13" fillId="0" borderId="0" xfId="0" applyFont="1"/>
    <xf numFmtId="168" fontId="7" fillId="0" borderId="5" xfId="0" applyNumberFormat="1" applyFont="1" applyBorder="1" applyAlignment="1">
      <alignment vertical="top"/>
    </xf>
    <xf numFmtId="166" fontId="7" fillId="3" borderId="5" xfId="0" applyNumberFormat="1" applyFont="1" applyFill="1" applyBorder="1" applyAlignment="1">
      <alignment vertical="top"/>
    </xf>
    <xf numFmtId="166" fontId="12" fillId="3" borderId="5" xfId="0" applyNumberFormat="1" applyFont="1" applyFill="1" applyBorder="1" applyAlignment="1">
      <alignment vertical="top"/>
    </xf>
    <xf numFmtId="0" fontId="9" fillId="0" borderId="12" xfId="0" applyFont="1" applyBorder="1" applyAlignment="1">
      <alignment vertical="top"/>
    </xf>
    <xf numFmtId="166" fontId="9" fillId="3" borderId="12" xfId="0" applyNumberFormat="1" applyFont="1" applyFill="1" applyBorder="1" applyAlignment="1">
      <alignment vertical="top" wrapText="1"/>
    </xf>
    <xf numFmtId="166" fontId="9" fillId="3" borderId="11" xfId="5" applyNumberFormat="1" applyFont="1" applyFill="1" applyBorder="1" applyAlignment="1">
      <alignment vertical="top"/>
    </xf>
    <xf numFmtId="166" fontId="7" fillId="3" borderId="5" xfId="5" applyNumberFormat="1" applyFill="1" applyBorder="1" applyAlignment="1">
      <alignment vertical="top"/>
    </xf>
    <xf numFmtId="0" fontId="7" fillId="0" borderId="5" xfId="5" applyBorder="1" applyAlignment="1">
      <alignment vertical="top"/>
    </xf>
    <xf numFmtId="0" fontId="9" fillId="0" borderId="12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166" fontId="14" fillId="3" borderId="1" xfId="0" applyNumberFormat="1" applyFont="1" applyFill="1" applyBorder="1" applyAlignment="1">
      <alignment vertical="top" wrapText="1"/>
    </xf>
    <xf numFmtId="0" fontId="8" fillId="0" borderId="1" xfId="0" applyFont="1" applyBorder="1"/>
    <xf numFmtId="166" fontId="8" fillId="3" borderId="1" xfId="0" applyNumberFormat="1" applyFont="1" applyFill="1" applyBorder="1"/>
    <xf numFmtId="165" fontId="9" fillId="0" borderId="13" xfId="0" applyNumberFormat="1" applyFont="1" applyBorder="1" applyAlignment="1">
      <alignment vertical="top"/>
    </xf>
    <xf numFmtId="168" fontId="9" fillId="0" borderId="14" xfId="0" applyNumberFormat="1" applyFont="1" applyBorder="1"/>
    <xf numFmtId="168" fontId="9" fillId="3" borderId="15" xfId="0" applyNumberFormat="1" applyFont="1" applyFill="1" applyBorder="1"/>
    <xf numFmtId="168" fontId="7" fillId="0" borderId="0" xfId="0" applyNumberFormat="1" applyFont="1"/>
    <xf numFmtId="166" fontId="7" fillId="3" borderId="5" xfId="4" applyNumberFormat="1" applyFont="1" applyFill="1" applyBorder="1" applyAlignment="1">
      <alignment vertical="top"/>
    </xf>
    <xf numFmtId="168" fontId="7" fillId="0" borderId="9" xfId="0" applyNumberFormat="1" applyFont="1" applyBorder="1" applyAlignment="1">
      <alignment vertical="top"/>
    </xf>
    <xf numFmtId="166" fontId="7" fillId="3" borderId="9" xfId="4" applyNumberFormat="1" applyFont="1" applyFill="1" applyBorder="1" applyAlignment="1">
      <alignment vertical="top"/>
    </xf>
    <xf numFmtId="0" fontId="8" fillId="0" borderId="12" xfId="0" applyFont="1" applyBorder="1" applyAlignment="1">
      <alignment wrapText="1"/>
    </xf>
    <xf numFmtId="168" fontId="9" fillId="3" borderId="12" xfId="0" applyNumberFormat="1" applyFont="1" applyFill="1" applyBorder="1"/>
    <xf numFmtId="168" fontId="9" fillId="3" borderId="9" xfId="0" applyNumberFormat="1" applyFont="1" applyFill="1" applyBorder="1"/>
    <xf numFmtId="168" fontId="9" fillId="0" borderId="0" xfId="0" applyNumberFormat="1" applyFont="1"/>
    <xf numFmtId="0" fontId="9" fillId="0" borderId="13" xfId="0" applyFont="1" applyBorder="1"/>
    <xf numFmtId="168" fontId="14" fillId="0" borderId="14" xfId="0" applyNumberFormat="1" applyFont="1" applyBorder="1"/>
    <xf numFmtId="168" fontId="7" fillId="0" borderId="14" xfId="0" applyNumberFormat="1" applyFont="1" applyBorder="1"/>
    <xf numFmtId="168" fontId="7" fillId="0" borderId="15" xfId="0" applyNumberFormat="1" applyFont="1" applyBorder="1"/>
    <xf numFmtId="165" fontId="7" fillId="0" borderId="11" xfId="0" applyNumberFormat="1" applyFont="1" applyBorder="1" applyAlignment="1">
      <alignment vertical="top"/>
    </xf>
    <xf numFmtId="168" fontId="9" fillId="3" borderId="5" xfId="0" applyNumberFormat="1" applyFont="1" applyFill="1" applyBorder="1" applyAlignment="1">
      <alignment vertical="top"/>
    </xf>
    <xf numFmtId="168" fontId="9" fillId="3" borderId="1" xfId="0" applyNumberFormat="1" applyFont="1" applyFill="1" applyBorder="1" applyAlignment="1">
      <alignment vertical="top"/>
    </xf>
    <xf numFmtId="165" fontId="9" fillId="0" borderId="9" xfId="0" applyNumberFormat="1" applyFont="1" applyBorder="1" applyAlignment="1">
      <alignment vertical="top"/>
    </xf>
    <xf numFmtId="165" fontId="14" fillId="0" borderId="9" xfId="0" applyNumberFormat="1" applyFont="1" applyBorder="1" applyAlignment="1">
      <alignment vertical="top"/>
    </xf>
    <xf numFmtId="168" fontId="14" fillId="0" borderId="15" xfId="0" applyNumberFormat="1" applyFont="1" applyBorder="1"/>
    <xf numFmtId="168" fontId="14" fillId="0" borderId="12" xfId="0" applyNumberFormat="1" applyFont="1" applyBorder="1"/>
    <xf numFmtId="168" fontId="15" fillId="0" borderId="12" xfId="0" applyNumberFormat="1" applyFont="1" applyBorder="1"/>
    <xf numFmtId="166" fontId="8" fillId="3" borderId="12" xfId="0" applyNumberFormat="1" applyFont="1" applyFill="1" applyBorder="1"/>
    <xf numFmtId="168" fontId="8" fillId="0" borderId="0" xfId="0" applyNumberFormat="1" applyFont="1"/>
    <xf numFmtId="0" fontId="8" fillId="3" borderId="2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/>
    </xf>
    <xf numFmtId="0" fontId="8" fillId="3" borderId="10" xfId="0" applyFont="1" applyFill="1" applyBorder="1" applyAlignment="1">
      <alignment horizontal="center"/>
    </xf>
    <xf numFmtId="166" fontId="7" fillId="3" borderId="1" xfId="4" applyNumberFormat="1" applyFont="1" applyFill="1" applyBorder="1"/>
    <xf numFmtId="166" fontId="7" fillId="3" borderId="4" xfId="4" applyNumberFormat="1" applyFont="1" applyFill="1" applyBorder="1"/>
    <xf numFmtId="169" fontId="9" fillId="3" borderId="2" xfId="0" applyNumberFormat="1" applyFont="1" applyFill="1" applyBorder="1" applyAlignment="1">
      <alignment vertical="top"/>
    </xf>
    <xf numFmtId="170" fontId="9" fillId="3" borderId="2" xfId="1" applyNumberFormat="1" applyFont="1" applyFill="1" applyBorder="1" applyAlignment="1">
      <alignment vertical="top"/>
    </xf>
    <xf numFmtId="170" fontId="7" fillId="3" borderId="1" xfId="1" applyNumberFormat="1" applyFont="1" applyFill="1" applyBorder="1"/>
    <xf numFmtId="170" fontId="7" fillId="3" borderId="4" xfId="1" applyNumberFormat="1" applyFont="1" applyFill="1" applyBorder="1"/>
    <xf numFmtId="170" fontId="7" fillId="3" borderId="4" xfId="1" applyNumberFormat="1" applyFont="1" applyFill="1" applyBorder="1" applyAlignment="1">
      <alignment vertical="top"/>
    </xf>
    <xf numFmtId="166" fontId="7" fillId="3" borderId="5" xfId="4" applyNumberFormat="1" applyFont="1" applyFill="1" applyBorder="1"/>
    <xf numFmtId="166" fontId="7" fillId="3" borderId="10" xfId="4" applyNumberFormat="1" applyFont="1" applyFill="1" applyBorder="1"/>
    <xf numFmtId="169" fontId="9" fillId="3" borderId="11" xfId="0" applyNumberFormat="1" applyFont="1" applyFill="1" applyBorder="1" applyAlignment="1">
      <alignment vertical="top"/>
    </xf>
    <xf numFmtId="170" fontId="9" fillId="3" borderId="11" xfId="1" applyNumberFormat="1" applyFont="1" applyFill="1" applyBorder="1" applyAlignment="1">
      <alignment vertical="top"/>
    </xf>
    <xf numFmtId="170" fontId="7" fillId="3" borderId="5" xfId="1" applyNumberFormat="1" applyFont="1" applyFill="1" applyBorder="1"/>
    <xf numFmtId="170" fontId="7" fillId="3" borderId="10" xfId="1" applyNumberFormat="1" applyFont="1" applyFill="1" applyBorder="1"/>
    <xf numFmtId="170" fontId="7" fillId="3" borderId="10" xfId="1" applyNumberFormat="1" applyFont="1" applyFill="1" applyBorder="1" applyAlignment="1">
      <alignment vertical="top"/>
    </xf>
    <xf numFmtId="166" fontId="12" fillId="3" borderId="5" xfId="4" applyNumberFormat="1" applyFont="1" applyFill="1" applyBorder="1"/>
    <xf numFmtId="166" fontId="12" fillId="3" borderId="10" xfId="4" applyNumberFormat="1" applyFont="1" applyFill="1" applyBorder="1"/>
    <xf numFmtId="169" fontId="11" fillId="3" borderId="11" xfId="0" applyNumberFormat="1" applyFont="1" applyFill="1" applyBorder="1" applyAlignment="1">
      <alignment vertical="top"/>
    </xf>
    <xf numFmtId="170" fontId="11" fillId="3" borderId="11" xfId="1" applyNumberFormat="1" applyFont="1" applyFill="1" applyBorder="1" applyAlignment="1">
      <alignment vertical="top"/>
    </xf>
    <xf numFmtId="170" fontId="12" fillId="3" borderId="5" xfId="1" applyNumberFormat="1" applyFont="1" applyFill="1" applyBorder="1"/>
    <xf numFmtId="170" fontId="12" fillId="3" borderId="10" xfId="1" applyNumberFormat="1" applyFont="1" applyFill="1" applyBorder="1"/>
    <xf numFmtId="170" fontId="12" fillId="3" borderId="10" xfId="1" applyNumberFormat="1" applyFont="1" applyFill="1" applyBorder="1" applyAlignment="1">
      <alignment vertical="top"/>
    </xf>
    <xf numFmtId="166" fontId="12" fillId="3" borderId="9" xfId="4" applyNumberFormat="1" applyFont="1" applyFill="1" applyBorder="1"/>
    <xf numFmtId="166" fontId="12" fillId="3" borderId="8" xfId="4" applyNumberFormat="1" applyFont="1" applyFill="1" applyBorder="1"/>
    <xf numFmtId="170" fontId="12" fillId="3" borderId="9" xfId="1" applyNumberFormat="1" applyFont="1" applyFill="1" applyBorder="1"/>
    <xf numFmtId="170" fontId="12" fillId="3" borderId="8" xfId="1" applyNumberFormat="1" applyFont="1" applyFill="1" applyBorder="1"/>
    <xf numFmtId="169" fontId="9" fillId="3" borderId="12" xfId="0" applyNumberFormat="1" applyFont="1" applyFill="1" applyBorder="1" applyAlignment="1">
      <alignment vertical="top"/>
    </xf>
    <xf numFmtId="170" fontId="9" fillId="3" borderId="12" xfId="1" applyNumberFormat="1" applyFont="1" applyFill="1" applyBorder="1" applyAlignment="1">
      <alignment vertical="top"/>
    </xf>
    <xf numFmtId="170" fontId="9" fillId="3" borderId="5" xfId="1" applyNumberFormat="1" applyFont="1" applyFill="1" applyBorder="1" applyAlignment="1">
      <alignment vertical="top"/>
    </xf>
    <xf numFmtId="170" fontId="9" fillId="3" borderId="9" xfId="1" applyNumberFormat="1" applyFont="1" applyFill="1" applyBorder="1" applyAlignment="1">
      <alignment vertical="top"/>
    </xf>
    <xf numFmtId="170" fontId="9" fillId="3" borderId="4" xfId="1" applyNumberFormat="1" applyFont="1" applyFill="1" applyBorder="1" applyAlignment="1">
      <alignment vertical="top"/>
    </xf>
    <xf numFmtId="170" fontId="9" fillId="3" borderId="10" xfId="1" applyNumberFormat="1" applyFont="1" applyFill="1" applyBorder="1" applyAlignment="1">
      <alignment vertical="top"/>
    </xf>
    <xf numFmtId="169" fontId="9" fillId="3" borderId="6" xfId="0" applyNumberFormat="1" applyFont="1" applyFill="1" applyBorder="1" applyAlignment="1">
      <alignment vertical="top"/>
    </xf>
    <xf numFmtId="166" fontId="7" fillId="3" borderId="9" xfId="4" applyNumberFormat="1" applyFont="1" applyFill="1" applyBorder="1"/>
    <xf numFmtId="170" fontId="9" fillId="3" borderId="6" xfId="1" applyNumberFormat="1" applyFont="1" applyFill="1" applyBorder="1" applyAlignment="1">
      <alignment vertical="top"/>
    </xf>
    <xf numFmtId="170" fontId="7" fillId="3" borderId="9" xfId="1" applyNumberFormat="1" applyFont="1" applyFill="1" applyBorder="1"/>
    <xf numFmtId="170" fontId="9" fillId="3" borderId="8" xfId="1" applyNumberFormat="1" applyFont="1" applyFill="1" applyBorder="1" applyAlignment="1">
      <alignment vertical="top"/>
    </xf>
    <xf numFmtId="166" fontId="9" fillId="3" borderId="13" xfId="0" applyNumberFormat="1" applyFont="1" applyFill="1" applyBorder="1" applyAlignment="1">
      <alignment vertical="top"/>
    </xf>
    <xf numFmtId="166" fontId="9" fillId="3" borderId="12" xfId="4" applyNumberFormat="1" applyFont="1" applyFill="1" applyBorder="1"/>
    <xf numFmtId="166" fontId="9" fillId="3" borderId="15" xfId="4" applyNumberFormat="1" applyFont="1" applyFill="1" applyBorder="1"/>
    <xf numFmtId="166" fontId="9" fillId="3" borderId="15" xfId="0" applyNumberFormat="1" applyFont="1" applyFill="1" applyBorder="1" applyAlignment="1">
      <alignment vertical="top"/>
    </xf>
    <xf numFmtId="166" fontId="9" fillId="3" borderId="1" xfId="0" applyNumberFormat="1" applyFont="1" applyFill="1" applyBorder="1" applyAlignment="1">
      <alignment vertical="top"/>
    </xf>
    <xf numFmtId="170" fontId="9" fillId="3" borderId="1" xfId="1" applyNumberFormat="1" applyFont="1" applyFill="1" applyBorder="1" applyAlignment="1">
      <alignment vertical="top"/>
    </xf>
    <xf numFmtId="169" fontId="9" fillId="3" borderId="5" xfId="0" applyNumberFormat="1" applyFont="1" applyFill="1" applyBorder="1" applyAlignment="1">
      <alignment vertical="top"/>
    </xf>
    <xf numFmtId="170" fontId="7" fillId="3" borderId="5" xfId="1" applyNumberFormat="1" applyFont="1" applyFill="1" applyBorder="1" applyAlignment="1">
      <alignment vertical="top"/>
    </xf>
    <xf numFmtId="170" fontId="12" fillId="3" borderId="5" xfId="1" applyNumberFormat="1" applyFont="1" applyFill="1" applyBorder="1" applyAlignment="1">
      <alignment vertical="top"/>
    </xf>
    <xf numFmtId="169" fontId="9" fillId="3" borderId="12" xfId="0" applyNumberFormat="1" applyFont="1" applyFill="1" applyBorder="1" applyAlignment="1">
      <alignment vertical="top" wrapText="1"/>
    </xf>
    <xf numFmtId="166" fontId="9" fillId="3" borderId="1" xfId="0" applyNumberFormat="1" applyFont="1" applyFill="1" applyBorder="1" applyAlignment="1">
      <alignment vertical="top" wrapText="1"/>
    </xf>
    <xf numFmtId="166" fontId="9" fillId="3" borderId="9" xfId="0" applyNumberFormat="1" applyFont="1" applyFill="1" applyBorder="1" applyAlignment="1">
      <alignment vertical="top" wrapText="1"/>
    </xf>
    <xf numFmtId="170" fontId="9" fillId="3" borderId="12" xfId="1" applyNumberFormat="1" applyFont="1" applyFill="1" applyBorder="1" applyAlignment="1">
      <alignment vertical="top" wrapText="1"/>
    </xf>
    <xf numFmtId="170" fontId="9" fillId="3" borderId="1" xfId="1" applyNumberFormat="1" applyFont="1" applyFill="1" applyBorder="1" applyAlignment="1">
      <alignment vertical="top" wrapText="1"/>
    </xf>
    <xf numFmtId="170" fontId="9" fillId="3" borderId="9" xfId="1" applyNumberFormat="1" applyFont="1" applyFill="1" applyBorder="1" applyAlignment="1">
      <alignment vertical="top" wrapText="1"/>
    </xf>
    <xf numFmtId="169" fontId="9" fillId="3" borderId="11" xfId="5" applyNumberFormat="1" applyFont="1" applyFill="1" applyBorder="1" applyAlignment="1">
      <alignment vertical="top"/>
    </xf>
    <xf numFmtId="168" fontId="16" fillId="0" borderId="5" xfId="0" applyNumberFormat="1" applyFont="1" applyBorder="1" applyAlignment="1">
      <alignment vertical="top"/>
    </xf>
    <xf numFmtId="166" fontId="14" fillId="3" borderId="11" xfId="0" applyNumberFormat="1" applyFont="1" applyFill="1" applyBorder="1" applyAlignment="1">
      <alignment vertical="top"/>
    </xf>
    <xf numFmtId="166" fontId="16" fillId="3" borderId="5" xfId="4" applyNumberFormat="1" applyFont="1" applyFill="1" applyBorder="1"/>
    <xf numFmtId="166" fontId="16" fillId="3" borderId="10" xfId="4" applyNumberFormat="1" applyFont="1" applyFill="1" applyBorder="1"/>
    <xf numFmtId="166" fontId="16" fillId="3" borderId="10" xfId="0" applyNumberFormat="1" applyFont="1" applyFill="1" applyBorder="1" applyAlignment="1">
      <alignment vertical="top"/>
    </xf>
    <xf numFmtId="168" fontId="16" fillId="0" borderId="0" xfId="0" applyNumberFormat="1" applyFont="1"/>
    <xf numFmtId="169" fontId="14" fillId="3" borderId="1" xfId="0" applyNumberFormat="1" applyFont="1" applyFill="1" applyBorder="1" applyAlignment="1">
      <alignment vertical="top" wrapText="1"/>
    </xf>
    <xf numFmtId="166" fontId="14" fillId="3" borderId="5" xfId="0" applyNumberFormat="1" applyFont="1" applyFill="1" applyBorder="1" applyAlignment="1">
      <alignment vertical="top" wrapText="1"/>
    </xf>
    <xf numFmtId="0" fontId="16" fillId="0" borderId="0" xfId="0" applyFont="1"/>
    <xf numFmtId="170" fontId="14" fillId="3" borderId="11" xfId="1" applyNumberFormat="1" applyFont="1" applyFill="1" applyBorder="1" applyAlignment="1">
      <alignment vertical="top"/>
    </xf>
    <xf numFmtId="170" fontId="14" fillId="3" borderId="9" xfId="1" applyNumberFormat="1" applyFont="1" applyFill="1" applyBorder="1" applyAlignment="1">
      <alignment vertical="top" wrapText="1"/>
    </xf>
    <xf numFmtId="170" fontId="14" fillId="3" borderId="5" xfId="1" applyNumberFormat="1" applyFont="1" applyFill="1" applyBorder="1" applyAlignment="1">
      <alignment vertical="top"/>
    </xf>
    <xf numFmtId="169" fontId="8" fillId="3" borderId="1" xfId="0" applyNumberFormat="1" applyFont="1" applyFill="1" applyBorder="1"/>
    <xf numFmtId="170" fontId="8" fillId="3" borderId="1" xfId="1" applyNumberFormat="1" applyFont="1" applyFill="1" applyBorder="1"/>
    <xf numFmtId="169" fontId="9" fillId="3" borderId="14" xfId="0" applyNumberFormat="1" applyFont="1" applyFill="1" applyBorder="1"/>
    <xf numFmtId="168" fontId="9" fillId="3" borderId="14" xfId="0" applyNumberFormat="1" applyFont="1" applyFill="1" applyBorder="1"/>
    <xf numFmtId="168" fontId="8" fillId="3" borderId="14" xfId="0" applyNumberFormat="1" applyFont="1" applyFill="1" applyBorder="1"/>
    <xf numFmtId="170" fontId="9" fillId="3" borderId="14" xfId="1" applyNumberFormat="1" applyFont="1" applyFill="1" applyBorder="1"/>
    <xf numFmtId="170" fontId="8" fillId="3" borderId="14" xfId="1" applyNumberFormat="1" applyFont="1" applyFill="1" applyBorder="1"/>
    <xf numFmtId="170" fontId="9" fillId="3" borderId="15" xfId="1" applyNumberFormat="1" applyFont="1" applyFill="1" applyBorder="1"/>
    <xf numFmtId="168" fontId="7" fillId="0" borderId="11" xfId="0" applyNumberFormat="1" applyFont="1" applyBorder="1" applyAlignment="1">
      <alignment vertical="top"/>
    </xf>
    <xf numFmtId="166" fontId="7" fillId="3" borderId="11" xfId="4" applyNumberFormat="1" applyFont="1" applyFill="1" applyBorder="1"/>
    <xf numFmtId="170" fontId="7" fillId="3" borderId="11" xfId="1" applyNumberFormat="1" applyFont="1" applyFill="1" applyBorder="1"/>
    <xf numFmtId="168" fontId="7" fillId="0" borderId="6" xfId="0" applyNumberFormat="1" applyFont="1" applyBorder="1" applyAlignment="1">
      <alignment vertical="top"/>
    </xf>
    <xf numFmtId="166" fontId="7" fillId="3" borderId="8" xfId="4" applyNumberFormat="1" applyFont="1" applyFill="1" applyBorder="1"/>
    <xf numFmtId="166" fontId="7" fillId="3" borderId="8" xfId="0" applyNumberFormat="1" applyFont="1" applyFill="1" applyBorder="1" applyAlignment="1">
      <alignment vertical="top"/>
    </xf>
    <xf numFmtId="166" fontId="7" fillId="3" borderId="6" xfId="4" applyNumberFormat="1" applyFont="1" applyFill="1" applyBorder="1"/>
    <xf numFmtId="170" fontId="7" fillId="3" borderId="6" xfId="1" applyNumberFormat="1" applyFont="1" applyFill="1" applyBorder="1"/>
    <xf numFmtId="170" fontId="7" fillId="3" borderId="9" xfId="1" applyNumberFormat="1" applyFont="1" applyFill="1" applyBorder="1" applyAlignment="1">
      <alignment vertical="top"/>
    </xf>
    <xf numFmtId="168" fontId="8" fillId="3" borderId="12" xfId="0" applyNumberFormat="1" applyFont="1" applyFill="1" applyBorder="1"/>
    <xf numFmtId="169" fontId="9" fillId="3" borderId="15" xfId="0" applyNumberFormat="1" applyFont="1" applyFill="1" applyBorder="1"/>
    <xf numFmtId="170" fontId="9" fillId="3" borderId="9" xfId="1" applyNumberFormat="1" applyFont="1" applyFill="1" applyBorder="1"/>
    <xf numFmtId="170" fontId="8" fillId="3" borderId="12" xfId="1" applyNumberFormat="1" applyFont="1" applyFill="1" applyBorder="1"/>
    <xf numFmtId="170" fontId="9" fillId="3" borderId="12" xfId="1" applyNumberFormat="1" applyFont="1" applyFill="1" applyBorder="1"/>
    <xf numFmtId="168" fontId="7" fillId="0" borderId="3" xfId="0" applyNumberFormat="1" applyFont="1" applyBorder="1"/>
    <xf numFmtId="0" fontId="14" fillId="0" borderId="13" xfId="0" applyFont="1" applyBorder="1"/>
    <xf numFmtId="168" fontId="16" fillId="0" borderId="14" xfId="0" applyNumberFormat="1" applyFont="1" applyBorder="1"/>
    <xf numFmtId="168" fontId="16" fillId="0" borderId="15" xfId="0" applyNumberFormat="1" applyFont="1" applyBorder="1"/>
    <xf numFmtId="168" fontId="7" fillId="3" borderId="1" xfId="0" applyNumberFormat="1" applyFont="1" applyFill="1" applyBorder="1" applyAlignment="1">
      <alignment vertical="top"/>
    </xf>
    <xf numFmtId="165" fontId="16" fillId="0" borderId="11" xfId="0" applyNumberFormat="1" applyFont="1" applyBorder="1" applyAlignment="1">
      <alignment vertical="top"/>
    </xf>
    <xf numFmtId="168" fontId="16" fillId="3" borderId="1" xfId="0" applyNumberFormat="1" applyFont="1" applyFill="1" applyBorder="1" applyAlignment="1">
      <alignment vertical="top"/>
    </xf>
    <xf numFmtId="168" fontId="14" fillId="3" borderId="1" xfId="0" applyNumberFormat="1" applyFont="1" applyFill="1" applyBorder="1" applyAlignment="1">
      <alignment vertical="top"/>
    </xf>
    <xf numFmtId="168" fontId="7" fillId="3" borderId="5" xfId="0" applyNumberFormat="1" applyFont="1" applyFill="1" applyBorder="1" applyAlignment="1">
      <alignment vertical="top"/>
    </xf>
    <xf numFmtId="168" fontId="16" fillId="3" borderId="5" xfId="0" applyNumberFormat="1" applyFont="1" applyFill="1" applyBorder="1" applyAlignment="1">
      <alignment vertical="top"/>
    </xf>
    <xf numFmtId="168" fontId="14" fillId="3" borderId="5" xfId="0" applyNumberFormat="1" applyFont="1" applyFill="1" applyBorder="1" applyAlignment="1">
      <alignment vertical="top"/>
    </xf>
    <xf numFmtId="168" fontId="7" fillId="3" borderId="9" xfId="0" applyNumberFormat="1" applyFont="1" applyFill="1" applyBorder="1" applyAlignment="1">
      <alignment vertical="top"/>
    </xf>
    <xf numFmtId="168" fontId="9" fillId="3" borderId="9" xfId="0" applyNumberFormat="1" applyFont="1" applyFill="1" applyBorder="1" applyAlignment="1">
      <alignment vertical="top"/>
    </xf>
    <xf numFmtId="168" fontId="9" fillId="3" borderId="8" xfId="0" applyNumberFormat="1" applyFont="1" applyFill="1" applyBorder="1"/>
    <xf numFmtId="165" fontId="14" fillId="0" borderId="12" xfId="0" applyNumberFormat="1" applyFont="1" applyBorder="1" applyAlignment="1">
      <alignment vertical="top"/>
    </xf>
    <xf numFmtId="168" fontId="14" fillId="3" borderId="15" xfId="0" applyNumberFormat="1" applyFont="1" applyFill="1" applyBorder="1"/>
    <xf numFmtId="168" fontId="14" fillId="3" borderId="12" xfId="0" applyNumberFormat="1" applyFont="1" applyFill="1" applyBorder="1"/>
    <xf numFmtId="168" fontId="15" fillId="3" borderId="12" xfId="0" applyNumberFormat="1" applyFont="1" applyFill="1" applyBorder="1"/>
    <xf numFmtId="168" fontId="9" fillId="0" borderId="12" xfId="0" applyNumberFormat="1" applyFont="1" applyBorder="1"/>
    <xf numFmtId="168" fontId="8" fillId="0" borderId="12" xfId="0" applyNumberFormat="1" applyFont="1" applyBorder="1"/>
    <xf numFmtId="168" fontId="9" fillId="0" borderId="15" xfId="0" applyNumberFormat="1" applyFont="1" applyBorder="1"/>
    <xf numFmtId="0" fontId="15" fillId="0" borderId="12" xfId="0" applyFont="1" applyBorder="1" applyAlignment="1">
      <alignment wrapText="1"/>
    </xf>
    <xf numFmtId="166" fontId="15" fillId="3" borderId="12" xfId="0" applyNumberFormat="1" applyFont="1" applyFill="1" applyBorder="1"/>
    <xf numFmtId="171" fontId="9" fillId="0" borderId="0" xfId="0" applyNumberFormat="1" applyFont="1"/>
    <xf numFmtId="168" fontId="9" fillId="3" borderId="2" xfId="0" applyNumberFormat="1" applyFont="1" applyFill="1" applyBorder="1" applyAlignment="1">
      <alignment horizontal="center"/>
    </xf>
    <xf numFmtId="168" fontId="7" fillId="3" borderId="3" xfId="0" applyNumberFormat="1" applyFont="1" applyFill="1" applyBorder="1" applyAlignment="1">
      <alignment horizontal="center"/>
    </xf>
    <xf numFmtId="168" fontId="8" fillId="3" borderId="3" xfId="0" applyNumberFormat="1" applyFont="1" applyFill="1" applyBorder="1" applyAlignment="1">
      <alignment horizontal="center"/>
    </xf>
    <xf numFmtId="168" fontId="7" fillId="3" borderId="4" xfId="0" applyNumberFormat="1" applyFont="1" applyFill="1" applyBorder="1" applyAlignment="1">
      <alignment horizontal="center"/>
    </xf>
    <xf numFmtId="168" fontId="8" fillId="3" borderId="6" xfId="0" applyNumberFormat="1" applyFont="1" applyFill="1" applyBorder="1" applyAlignment="1">
      <alignment horizontal="center" vertical="center"/>
    </xf>
    <xf numFmtId="168" fontId="8" fillId="3" borderId="7" xfId="0" applyNumberFormat="1" applyFont="1" applyFill="1" applyBorder="1" applyAlignment="1">
      <alignment horizontal="center" vertical="center"/>
    </xf>
    <xf numFmtId="168" fontId="8" fillId="3" borderId="8" xfId="0" applyNumberFormat="1" applyFont="1" applyFill="1" applyBorder="1" applyAlignment="1">
      <alignment horizontal="center" vertical="center"/>
    </xf>
    <xf numFmtId="168" fontId="8" fillId="3" borderId="6" xfId="0" applyNumberFormat="1" applyFont="1" applyFill="1" applyBorder="1" applyAlignment="1">
      <alignment horizontal="center" vertical="center"/>
    </xf>
    <xf numFmtId="168" fontId="8" fillId="3" borderId="7" xfId="0" applyNumberFormat="1" applyFont="1" applyFill="1" applyBorder="1" applyAlignment="1">
      <alignment horizontal="center" vertical="center"/>
    </xf>
    <xf numFmtId="168" fontId="8" fillId="3" borderId="8" xfId="0" applyNumberFormat="1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wrapText="1"/>
    </xf>
    <xf numFmtId="166" fontId="7" fillId="3" borderId="2" xfId="0" applyNumberFormat="1" applyFont="1" applyFill="1" applyBorder="1" applyAlignment="1">
      <alignment vertical="top"/>
    </xf>
    <xf numFmtId="168" fontId="7" fillId="0" borderId="0" xfId="0" applyNumberFormat="1" applyFont="1" applyAlignment="1">
      <alignment horizontal="left"/>
    </xf>
    <xf numFmtId="168" fontId="9" fillId="3" borderId="2" xfId="0" applyNumberFormat="1" applyFont="1" applyFill="1" applyBorder="1" applyAlignment="1">
      <alignment vertical="top"/>
    </xf>
    <xf numFmtId="168" fontId="7" fillId="3" borderId="1" xfId="4" applyNumberFormat="1" applyFont="1" applyFill="1" applyBorder="1"/>
    <xf numFmtId="168" fontId="7" fillId="3" borderId="4" xfId="4" applyNumberFormat="1" applyFont="1" applyFill="1" applyBorder="1"/>
    <xf numFmtId="168" fontId="7" fillId="3" borderId="4" xfId="0" applyNumberFormat="1" applyFont="1" applyFill="1" applyBorder="1" applyAlignment="1">
      <alignment vertical="top"/>
    </xf>
    <xf numFmtId="172" fontId="9" fillId="3" borderId="2" xfId="1" applyNumberFormat="1" applyFont="1" applyFill="1" applyBorder="1" applyAlignment="1">
      <alignment vertical="top"/>
    </xf>
    <xf numFmtId="172" fontId="7" fillId="3" borderId="1" xfId="1" applyNumberFormat="1" applyFont="1" applyFill="1" applyBorder="1"/>
    <xf numFmtId="172" fontId="7" fillId="3" borderId="4" xfId="1" applyNumberFormat="1" applyFont="1" applyFill="1" applyBorder="1"/>
    <xf numFmtId="172" fontId="7" fillId="3" borderId="4" xfId="1" applyNumberFormat="1" applyFont="1" applyFill="1" applyBorder="1" applyAlignment="1">
      <alignment vertical="top"/>
    </xf>
    <xf numFmtId="166" fontId="7" fillId="3" borderId="11" xfId="0" applyNumberFormat="1" applyFont="1" applyFill="1" applyBorder="1" applyAlignment="1">
      <alignment vertical="top"/>
    </xf>
    <xf numFmtId="168" fontId="9" fillId="3" borderId="11" xfId="0" applyNumberFormat="1" applyFont="1" applyFill="1" applyBorder="1" applyAlignment="1">
      <alignment vertical="top"/>
    </xf>
    <xf numFmtId="168" fontId="7" fillId="3" borderId="5" xfId="4" applyNumberFormat="1" applyFont="1" applyFill="1" applyBorder="1"/>
    <xf numFmtId="168" fontId="7" fillId="3" borderId="10" xfId="4" applyNumberFormat="1" applyFont="1" applyFill="1" applyBorder="1"/>
    <xf numFmtId="168" fontId="7" fillId="3" borderId="10" xfId="0" applyNumberFormat="1" applyFont="1" applyFill="1" applyBorder="1" applyAlignment="1">
      <alignment vertical="top"/>
    </xf>
    <xf numFmtId="172" fontId="9" fillId="3" borderId="11" xfId="1" applyNumberFormat="1" applyFont="1" applyFill="1" applyBorder="1" applyAlignment="1">
      <alignment vertical="top"/>
    </xf>
    <xf numFmtId="172" fontId="7" fillId="3" borderId="5" xfId="1" applyNumberFormat="1" applyFont="1" applyFill="1" applyBorder="1"/>
    <xf numFmtId="172" fontId="7" fillId="3" borderId="10" xfId="1" applyNumberFormat="1" applyFont="1" applyFill="1" applyBorder="1"/>
    <xf numFmtId="172" fontId="7" fillId="3" borderId="10" xfId="1" applyNumberFormat="1" applyFont="1" applyFill="1" applyBorder="1" applyAlignment="1">
      <alignment vertical="top"/>
    </xf>
    <xf numFmtId="166" fontId="12" fillId="3" borderId="11" xfId="0" applyNumberFormat="1" applyFont="1" applyFill="1" applyBorder="1" applyAlignment="1">
      <alignment vertical="top"/>
    </xf>
    <xf numFmtId="168" fontId="11" fillId="3" borderId="11" xfId="0" applyNumberFormat="1" applyFont="1" applyFill="1" applyBorder="1" applyAlignment="1">
      <alignment vertical="top"/>
    </xf>
    <xf numFmtId="168" fontId="12" fillId="3" borderId="5" xfId="4" applyNumberFormat="1" applyFont="1" applyFill="1" applyBorder="1"/>
    <xf numFmtId="168" fontId="12" fillId="3" borderId="10" xfId="4" applyNumberFormat="1" applyFont="1" applyFill="1" applyBorder="1"/>
    <xf numFmtId="168" fontId="12" fillId="3" borderId="10" xfId="0" applyNumberFormat="1" applyFont="1" applyFill="1" applyBorder="1" applyAlignment="1">
      <alignment vertical="top"/>
    </xf>
    <xf numFmtId="172" fontId="11" fillId="3" borderId="11" xfId="1" applyNumberFormat="1" applyFont="1" applyFill="1" applyBorder="1" applyAlignment="1">
      <alignment vertical="top"/>
    </xf>
    <xf numFmtId="172" fontId="12" fillId="3" borderId="5" xfId="1" applyNumberFormat="1" applyFont="1" applyFill="1" applyBorder="1"/>
    <xf numFmtId="172" fontId="12" fillId="3" borderId="10" xfId="1" applyNumberFormat="1" applyFont="1" applyFill="1" applyBorder="1"/>
    <xf numFmtId="172" fontId="12" fillId="3" borderId="10" xfId="1" applyNumberFormat="1" applyFont="1" applyFill="1" applyBorder="1" applyAlignment="1">
      <alignment vertical="top"/>
    </xf>
    <xf numFmtId="168" fontId="12" fillId="3" borderId="9" xfId="4" applyNumberFormat="1" applyFont="1" applyFill="1" applyBorder="1"/>
    <xf numFmtId="168" fontId="12" fillId="3" borderId="8" xfId="4" applyNumberFormat="1" applyFont="1" applyFill="1" applyBorder="1"/>
    <xf numFmtId="172" fontId="12" fillId="3" borderId="9" xfId="1" applyNumberFormat="1" applyFont="1" applyFill="1" applyBorder="1"/>
    <xf numFmtId="172" fontId="12" fillId="3" borderId="8" xfId="1" applyNumberFormat="1" applyFont="1" applyFill="1" applyBorder="1"/>
    <xf numFmtId="168" fontId="9" fillId="3" borderId="12" xfId="0" applyNumberFormat="1" applyFont="1" applyFill="1" applyBorder="1" applyAlignment="1">
      <alignment vertical="top"/>
    </xf>
    <xf numFmtId="172" fontId="9" fillId="3" borderId="12" xfId="1" applyNumberFormat="1" applyFont="1" applyFill="1" applyBorder="1" applyAlignment="1">
      <alignment vertical="top"/>
    </xf>
    <xf numFmtId="172" fontId="9" fillId="3" borderId="5" xfId="1" applyNumberFormat="1" applyFont="1" applyFill="1" applyBorder="1" applyAlignment="1">
      <alignment vertical="top"/>
    </xf>
    <xf numFmtId="172" fontId="9" fillId="3" borderId="9" xfId="1" applyNumberFormat="1" applyFont="1" applyFill="1" applyBorder="1" applyAlignment="1">
      <alignment vertical="top"/>
    </xf>
    <xf numFmtId="171" fontId="7" fillId="3" borderId="5" xfId="0" applyNumberFormat="1" applyFont="1" applyFill="1" applyBorder="1" applyAlignment="1">
      <alignment vertical="top"/>
    </xf>
    <xf numFmtId="168" fontId="9" fillId="3" borderId="4" xfId="0" applyNumberFormat="1" applyFont="1" applyFill="1" applyBorder="1" applyAlignment="1">
      <alignment vertical="top"/>
    </xf>
    <xf numFmtId="172" fontId="9" fillId="3" borderId="4" xfId="1" applyNumberFormat="1" applyFont="1" applyFill="1" applyBorder="1" applyAlignment="1">
      <alignment vertical="top"/>
    </xf>
    <xf numFmtId="168" fontId="9" fillId="3" borderId="10" xfId="0" applyNumberFormat="1" applyFont="1" applyFill="1" applyBorder="1" applyAlignment="1">
      <alignment vertical="top"/>
    </xf>
    <xf numFmtId="172" fontId="9" fillId="3" borderId="10" xfId="1" applyNumberFormat="1" applyFont="1" applyFill="1" applyBorder="1" applyAlignment="1">
      <alignment vertical="top"/>
    </xf>
    <xf numFmtId="168" fontId="9" fillId="3" borderId="6" xfId="0" applyNumberFormat="1" applyFont="1" applyFill="1" applyBorder="1" applyAlignment="1">
      <alignment vertical="top"/>
    </xf>
    <xf numFmtId="168" fontId="7" fillId="3" borderId="9" xfId="4" applyNumberFormat="1" applyFont="1" applyFill="1" applyBorder="1"/>
    <xf numFmtId="168" fontId="9" fillId="3" borderId="8" xfId="0" applyNumberFormat="1" applyFont="1" applyFill="1" applyBorder="1" applyAlignment="1">
      <alignment vertical="top"/>
    </xf>
    <xf numFmtId="172" fontId="9" fillId="3" borderId="6" xfId="1" applyNumberFormat="1" applyFont="1" applyFill="1" applyBorder="1" applyAlignment="1">
      <alignment vertical="top"/>
    </xf>
    <xf numFmtId="172" fontId="7" fillId="3" borderId="9" xfId="1" applyNumberFormat="1" applyFont="1" applyFill="1" applyBorder="1"/>
    <xf numFmtId="172" fontId="9" fillId="3" borderId="8" xfId="1" applyNumberFormat="1" applyFont="1" applyFill="1" applyBorder="1" applyAlignment="1">
      <alignment vertical="top"/>
    </xf>
    <xf numFmtId="172" fontId="9" fillId="3" borderId="1" xfId="1" applyNumberFormat="1" applyFont="1" applyFill="1" applyBorder="1" applyAlignment="1">
      <alignment vertical="top"/>
    </xf>
    <xf numFmtId="172" fontId="7" fillId="3" borderId="5" xfId="1" applyNumberFormat="1" applyFont="1" applyFill="1" applyBorder="1" applyAlignment="1">
      <alignment vertical="top"/>
    </xf>
    <xf numFmtId="168" fontId="12" fillId="3" borderId="5" xfId="0" applyNumberFormat="1" applyFont="1" applyFill="1" applyBorder="1" applyAlignment="1">
      <alignment vertical="top"/>
    </xf>
    <xf numFmtId="172" fontId="12" fillId="3" borderId="5" xfId="1" applyNumberFormat="1" applyFont="1" applyFill="1" applyBorder="1" applyAlignment="1">
      <alignment vertical="top"/>
    </xf>
    <xf numFmtId="168" fontId="9" fillId="3" borderId="12" xfId="0" applyNumberFormat="1" applyFont="1" applyFill="1" applyBorder="1" applyAlignment="1">
      <alignment vertical="top" wrapText="1"/>
    </xf>
    <xf numFmtId="168" fontId="9" fillId="3" borderId="1" xfId="0" applyNumberFormat="1" applyFont="1" applyFill="1" applyBorder="1" applyAlignment="1">
      <alignment vertical="top" wrapText="1"/>
    </xf>
    <xf numFmtId="168" fontId="9" fillId="3" borderId="9" xfId="0" applyNumberFormat="1" applyFont="1" applyFill="1" applyBorder="1" applyAlignment="1">
      <alignment vertical="top" wrapText="1"/>
    </xf>
    <xf numFmtId="172" fontId="9" fillId="3" borderId="12" xfId="1" applyNumberFormat="1" applyFont="1" applyFill="1" applyBorder="1" applyAlignment="1">
      <alignment vertical="top" wrapText="1"/>
    </xf>
    <xf numFmtId="172" fontId="9" fillId="3" borderId="1" xfId="1" applyNumberFormat="1" applyFont="1" applyFill="1" applyBorder="1" applyAlignment="1">
      <alignment vertical="top" wrapText="1"/>
    </xf>
    <xf numFmtId="172" fontId="9" fillId="3" borderId="9" xfId="1" applyNumberFormat="1" applyFont="1" applyFill="1" applyBorder="1" applyAlignment="1">
      <alignment vertical="top" wrapText="1"/>
    </xf>
    <xf numFmtId="168" fontId="9" fillId="3" borderId="11" xfId="5" applyNumberFormat="1" applyFont="1" applyFill="1" applyBorder="1" applyAlignment="1">
      <alignment vertical="top"/>
    </xf>
    <xf numFmtId="168" fontId="7" fillId="3" borderId="5" xfId="5" applyNumberFormat="1" applyFill="1" applyBorder="1" applyAlignment="1">
      <alignment vertical="top"/>
    </xf>
    <xf numFmtId="168" fontId="16" fillId="0" borderId="0" xfId="0" applyNumberFormat="1" applyFont="1" applyAlignment="1">
      <alignment horizontal="left"/>
    </xf>
    <xf numFmtId="168" fontId="14" fillId="3" borderId="11" xfId="5" applyNumberFormat="1" applyFont="1" applyFill="1" applyBorder="1" applyAlignment="1">
      <alignment vertical="top"/>
    </xf>
    <xf numFmtId="168" fontId="16" fillId="3" borderId="5" xfId="4" applyNumberFormat="1" applyFont="1" applyFill="1" applyBorder="1"/>
    <xf numFmtId="168" fontId="16" fillId="3" borderId="5" xfId="5" applyNumberFormat="1" applyFont="1" applyFill="1" applyBorder="1" applyAlignment="1">
      <alignment vertical="top"/>
    </xf>
    <xf numFmtId="172" fontId="14" fillId="3" borderId="11" xfId="1" applyNumberFormat="1" applyFont="1" applyFill="1" applyBorder="1" applyAlignment="1">
      <alignment vertical="top"/>
    </xf>
    <xf numFmtId="172" fontId="16" fillId="3" borderId="5" xfId="1" applyNumberFormat="1" applyFont="1" applyFill="1" applyBorder="1"/>
    <xf numFmtId="172" fontId="16" fillId="3" borderId="5" xfId="1" applyNumberFormat="1" applyFont="1" applyFill="1" applyBorder="1" applyAlignment="1">
      <alignment vertical="top"/>
    </xf>
    <xf numFmtId="168" fontId="8" fillId="3" borderId="1" xfId="0" applyNumberFormat="1" applyFont="1" applyFill="1" applyBorder="1"/>
    <xf numFmtId="172" fontId="8" fillId="3" borderId="1" xfId="1" applyNumberFormat="1" applyFont="1" applyFill="1" applyBorder="1"/>
    <xf numFmtId="172" fontId="9" fillId="3" borderId="14" xfId="1" applyNumberFormat="1" applyFont="1" applyFill="1" applyBorder="1"/>
    <xf numFmtId="172" fontId="8" fillId="3" borderId="14" xfId="1" applyNumberFormat="1" applyFont="1" applyFill="1" applyBorder="1"/>
    <xf numFmtId="172" fontId="9" fillId="3" borderId="15" xfId="1" applyNumberFormat="1" applyFont="1" applyFill="1" applyBorder="1"/>
    <xf numFmtId="168" fontId="7" fillId="3" borderId="11" xfId="4" applyNumberFormat="1" applyFont="1" applyFill="1" applyBorder="1"/>
    <xf numFmtId="168" fontId="7" fillId="3" borderId="5" xfId="4" applyNumberFormat="1" applyFont="1" applyFill="1" applyBorder="1" applyAlignment="1">
      <alignment vertical="top"/>
    </xf>
    <xf numFmtId="172" fontId="7" fillId="3" borderId="11" xfId="1" applyNumberFormat="1" applyFont="1" applyFill="1" applyBorder="1"/>
    <xf numFmtId="168" fontId="7" fillId="3" borderId="6" xfId="4" applyNumberFormat="1" applyFont="1" applyFill="1" applyBorder="1"/>
    <xf numFmtId="168" fontId="7" fillId="3" borderId="9" xfId="4" applyNumberFormat="1" applyFont="1" applyFill="1" applyBorder="1" applyAlignment="1">
      <alignment vertical="top"/>
    </xf>
    <xf numFmtId="172" fontId="7" fillId="3" borderId="6" xfId="1" applyNumberFormat="1" applyFont="1" applyFill="1" applyBorder="1"/>
    <xf numFmtId="172" fontId="7" fillId="3" borderId="9" xfId="1" applyNumberFormat="1" applyFont="1" applyFill="1" applyBorder="1" applyAlignment="1">
      <alignment vertical="top"/>
    </xf>
    <xf numFmtId="172" fontId="9" fillId="3" borderId="9" xfId="1" applyNumberFormat="1" applyFont="1" applyFill="1" applyBorder="1"/>
    <xf numFmtId="172" fontId="8" fillId="3" borderId="12" xfId="1" applyNumberFormat="1" applyFont="1" applyFill="1" applyBorder="1"/>
    <xf numFmtId="172" fontId="9" fillId="3" borderId="12" xfId="1" applyNumberFormat="1" applyFont="1" applyFill="1" applyBorder="1"/>
    <xf numFmtId="0" fontId="8" fillId="3" borderId="11" xfId="0" applyFont="1" applyFill="1" applyBorder="1" applyAlignment="1">
      <alignment horizontal="center"/>
    </xf>
    <xf numFmtId="166" fontId="9" fillId="3" borderId="1" xfId="4" applyNumberFormat="1" applyFont="1" applyFill="1" applyBorder="1" applyAlignment="1"/>
    <xf numFmtId="166" fontId="9" fillId="3" borderId="4" xfId="4" applyNumberFormat="1" applyFont="1" applyFill="1" applyBorder="1" applyAlignment="1"/>
    <xf numFmtId="166" fontId="9" fillId="3" borderId="5" xfId="4" applyNumberFormat="1" applyFont="1" applyFill="1" applyBorder="1" applyAlignment="1"/>
    <xf numFmtId="166" fontId="9" fillId="3" borderId="10" xfId="4" applyNumberFormat="1" applyFont="1" applyFill="1" applyBorder="1" applyAlignment="1"/>
    <xf numFmtId="166" fontId="9" fillId="3" borderId="12" xfId="4" applyNumberFormat="1" applyFont="1" applyFill="1" applyBorder="1" applyAlignment="1"/>
    <xf numFmtId="166" fontId="9" fillId="3" borderId="15" xfId="4" applyNumberFormat="1" applyFont="1" applyFill="1" applyBorder="1" applyAlignment="1"/>
    <xf numFmtId="166" fontId="9" fillId="3" borderId="9" xfId="4" applyNumberFormat="1" applyFont="1" applyFill="1" applyBorder="1" applyAlignment="1"/>
    <xf numFmtId="166" fontId="9" fillId="3" borderId="8" xfId="4" applyNumberFormat="1" applyFont="1" applyFill="1" applyBorder="1" applyAlignment="1"/>
    <xf numFmtId="168" fontId="17" fillId="0" borderId="0" xfId="0" applyNumberFormat="1" applyFont="1" applyAlignment="1">
      <alignment horizontal="right"/>
    </xf>
    <xf numFmtId="0" fontId="8" fillId="3" borderId="9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168" fontId="8" fillId="3" borderId="8" xfId="0" applyNumberFormat="1" applyFont="1" applyFill="1" applyBorder="1" applyAlignment="1">
      <alignment horizontal="center" wrapText="1"/>
    </xf>
    <xf numFmtId="173" fontId="9" fillId="3" borderId="12" xfId="0" applyNumberFormat="1" applyFont="1" applyFill="1" applyBorder="1" applyAlignment="1">
      <alignment vertical="top"/>
    </xf>
    <xf numFmtId="168" fontId="11" fillId="3" borderId="5" xfId="0" applyNumberFormat="1" applyFont="1" applyFill="1" applyBorder="1" applyAlignment="1">
      <alignment vertical="top"/>
    </xf>
    <xf numFmtId="168" fontId="9" fillId="3" borderId="0" xfId="0" applyNumberFormat="1" applyFont="1" applyFill="1" applyAlignment="1">
      <alignment vertical="top"/>
    </xf>
    <xf numFmtId="168" fontId="7" fillId="3" borderId="0" xfId="0" applyNumberFormat="1" applyFont="1" applyFill="1" applyAlignment="1">
      <alignment vertical="top"/>
    </xf>
    <xf numFmtId="168" fontId="11" fillId="3" borderId="0" xfId="0" applyNumberFormat="1" applyFont="1" applyFill="1" applyAlignment="1">
      <alignment vertical="top"/>
    </xf>
    <xf numFmtId="168" fontId="12" fillId="3" borderId="0" xfId="0" applyNumberFormat="1" applyFont="1" applyFill="1" applyAlignment="1">
      <alignment vertical="top"/>
    </xf>
    <xf numFmtId="168" fontId="9" fillId="3" borderId="0" xfId="5" applyNumberFormat="1" applyFont="1" applyFill="1" applyAlignment="1">
      <alignment vertical="top"/>
    </xf>
    <xf numFmtId="168" fontId="7" fillId="3" borderId="0" xfId="5" applyNumberFormat="1" applyFill="1" applyAlignment="1">
      <alignment vertical="top"/>
    </xf>
    <xf numFmtId="0" fontId="8" fillId="0" borderId="12" xfId="0" applyFont="1" applyBorder="1"/>
    <xf numFmtId="173" fontId="9" fillId="3" borderId="12" xfId="0" applyNumberFormat="1" applyFont="1" applyFill="1" applyBorder="1" applyAlignment="1">
      <alignment vertical="top" wrapText="1"/>
    </xf>
    <xf numFmtId="174" fontId="7" fillId="0" borderId="0" xfId="0" applyNumberFormat="1" applyFont="1"/>
    <xf numFmtId="0" fontId="10" fillId="0" borderId="0" xfId="0" applyFont="1" applyAlignment="1">
      <alignment horizontal="center" vertical="center"/>
    </xf>
    <xf numFmtId="0" fontId="10" fillId="0" borderId="2" xfId="0" applyFont="1" applyBorder="1"/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wrapText="1"/>
    </xf>
    <xf numFmtId="0" fontId="7" fillId="0" borderId="11" xfId="0" applyFont="1" applyBorder="1"/>
    <xf numFmtId="0" fontId="8" fillId="5" borderId="6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wrapText="1"/>
    </xf>
    <xf numFmtId="0" fontId="8" fillId="0" borderId="11" xfId="0" applyFont="1" applyBorder="1"/>
    <xf numFmtId="0" fontId="8" fillId="5" borderId="6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 wrapText="1"/>
    </xf>
    <xf numFmtId="0" fontId="18" fillId="0" borderId="5" xfId="0" applyFont="1" applyBorder="1"/>
    <xf numFmtId="0" fontId="18" fillId="0" borderId="15" xfId="0" applyFont="1" applyBorder="1" applyAlignment="1">
      <alignment horizontal="center"/>
    </xf>
    <xf numFmtId="166" fontId="7" fillId="6" borderId="15" xfId="0" applyNumberFormat="1" applyFont="1" applyFill="1" applyBorder="1" applyAlignment="1">
      <alignment vertical="top"/>
    </xf>
    <xf numFmtId="166" fontId="7" fillId="6" borderId="12" xfId="0" applyNumberFormat="1" applyFont="1" applyFill="1" applyBorder="1" applyAlignment="1">
      <alignment vertical="top"/>
    </xf>
    <xf numFmtId="166" fontId="9" fillId="6" borderId="12" xfId="0" applyNumberFormat="1" applyFont="1" applyFill="1" applyBorder="1" applyAlignment="1">
      <alignment vertical="top"/>
    </xf>
    <xf numFmtId="166" fontId="7" fillId="6" borderId="1" xfId="0" applyNumberFormat="1" applyFont="1" applyFill="1" applyBorder="1" applyAlignment="1">
      <alignment vertical="top"/>
    </xf>
    <xf numFmtId="166" fontId="7" fillId="0" borderId="12" xfId="0" applyNumberFormat="1" applyFont="1" applyBorder="1" applyAlignment="1">
      <alignment vertical="top"/>
    </xf>
    <xf numFmtId="175" fontId="9" fillId="5" borderId="12" xfId="0" applyNumberFormat="1" applyFont="1" applyFill="1" applyBorder="1" applyAlignment="1">
      <alignment horizontal="right"/>
    </xf>
    <xf numFmtId="0" fontId="19" fillId="0" borderId="5" xfId="0" applyFont="1" applyBorder="1" applyAlignment="1">
      <alignment vertical="center"/>
    </xf>
    <xf numFmtId="1" fontId="20" fillId="0" borderId="1" xfId="6" applyNumberFormat="1" applyFont="1" applyBorder="1" applyAlignment="1">
      <alignment horizontal="center" vertical="center"/>
    </xf>
    <xf numFmtId="175" fontId="21" fillId="5" borderId="4" xfId="0" applyNumberFormat="1" applyFont="1" applyFill="1" applyBorder="1" applyAlignment="1">
      <alignment horizontal="right" vertical="center"/>
    </xf>
    <xf numFmtId="175" fontId="21" fillId="5" borderId="1" xfId="0" applyNumberFormat="1" applyFont="1" applyFill="1" applyBorder="1" applyAlignment="1">
      <alignment horizontal="right" vertical="center"/>
    </xf>
    <xf numFmtId="175" fontId="7" fillId="4" borderId="1" xfId="4" applyNumberFormat="1" applyFont="1" applyFill="1" applyBorder="1"/>
    <xf numFmtId="175" fontId="22" fillId="5" borderId="1" xfId="0" applyNumberFormat="1" applyFont="1" applyFill="1" applyBorder="1" applyAlignment="1">
      <alignment horizontal="right" vertical="center"/>
    </xf>
    <xf numFmtId="1" fontId="20" fillId="0" borderId="5" xfId="6" applyNumberFormat="1" applyFont="1" applyBorder="1" applyAlignment="1">
      <alignment horizontal="center" vertical="center"/>
    </xf>
    <xf numFmtId="175" fontId="21" fillId="5" borderId="10" xfId="0" applyNumberFormat="1" applyFont="1" applyFill="1" applyBorder="1" applyAlignment="1">
      <alignment horizontal="right" vertical="center"/>
    </xf>
    <xf numFmtId="175" fontId="21" fillId="5" borderId="5" xfId="0" applyNumberFormat="1" applyFont="1" applyFill="1" applyBorder="1" applyAlignment="1">
      <alignment horizontal="right" vertical="center"/>
    </xf>
    <xf numFmtId="175" fontId="7" fillId="4" borderId="5" xfId="4" applyNumberFormat="1" applyFont="1" applyFill="1" applyBorder="1"/>
    <xf numFmtId="175" fontId="22" fillId="5" borderId="5" xfId="0" applyNumberFormat="1" applyFont="1" applyFill="1" applyBorder="1" applyAlignment="1">
      <alignment horizontal="right" vertical="center"/>
    </xf>
    <xf numFmtId="1" fontId="20" fillId="0" borderId="9" xfId="6" applyNumberFormat="1" applyFont="1" applyBorder="1" applyAlignment="1">
      <alignment horizontal="center" vertical="center"/>
    </xf>
    <xf numFmtId="175" fontId="21" fillId="5" borderId="8" xfId="0" applyNumberFormat="1" applyFont="1" applyFill="1" applyBorder="1" applyAlignment="1">
      <alignment horizontal="right" vertical="center"/>
    </xf>
    <xf numFmtId="175" fontId="7" fillId="4" borderId="9" xfId="4" applyNumberFormat="1" applyFont="1" applyFill="1" applyBorder="1"/>
    <xf numFmtId="175" fontId="22" fillId="5" borderId="9" xfId="0" applyNumberFormat="1" applyFont="1" applyFill="1" applyBorder="1" applyAlignment="1">
      <alignment horizontal="right" vertical="center"/>
    </xf>
    <xf numFmtId="0" fontId="19" fillId="0" borderId="11" xfId="0" applyFont="1" applyBorder="1" applyAlignment="1">
      <alignment vertical="center"/>
    </xf>
    <xf numFmtId="175" fontId="21" fillId="0" borderId="1" xfId="0" applyNumberFormat="1" applyFont="1" applyBorder="1" applyAlignment="1">
      <alignment horizontal="right" vertical="center"/>
    </xf>
    <xf numFmtId="175" fontId="21" fillId="6" borderId="1" xfId="0" applyNumberFormat="1" applyFont="1" applyFill="1" applyBorder="1" applyAlignment="1">
      <alignment horizontal="right" vertical="center"/>
    </xf>
    <xf numFmtId="175" fontId="21" fillId="6" borderId="5" xfId="0" applyNumberFormat="1" applyFont="1" applyFill="1" applyBorder="1" applyAlignment="1">
      <alignment horizontal="right" vertical="center"/>
    </xf>
    <xf numFmtId="175" fontId="21" fillId="0" borderId="1" xfId="7" applyNumberFormat="1" applyFont="1" applyBorder="1" applyAlignment="1">
      <alignment horizontal="right" vertical="center"/>
    </xf>
    <xf numFmtId="0" fontId="18" fillId="0" borderId="11" xfId="0" applyFont="1" applyBorder="1" applyAlignment="1">
      <alignment vertical="center"/>
    </xf>
    <xf numFmtId="166" fontId="21" fillId="0" borderId="9" xfId="0" applyNumberFormat="1" applyFont="1" applyBorder="1" applyAlignment="1">
      <alignment horizontal="right" vertical="center"/>
    </xf>
    <xf numFmtId="166" fontId="21" fillId="6" borderId="9" xfId="0" applyNumberFormat="1" applyFont="1" applyFill="1" applyBorder="1" applyAlignment="1">
      <alignment horizontal="right" vertical="center"/>
    </xf>
    <xf numFmtId="166" fontId="21" fillId="6" borderId="5" xfId="0" applyNumberFormat="1" applyFont="1" applyFill="1" applyBorder="1" applyAlignment="1">
      <alignment horizontal="right" vertical="center"/>
    </xf>
    <xf numFmtId="175" fontId="21" fillId="0" borderId="9" xfId="7" applyNumberFormat="1" applyFont="1" applyBorder="1" applyAlignment="1">
      <alignment horizontal="right" vertical="center"/>
    </xf>
    <xf numFmtId="0" fontId="19" fillId="0" borderId="1" xfId="0" applyFont="1" applyBorder="1" applyAlignment="1">
      <alignment horizontal="center" vertical="center"/>
    </xf>
    <xf numFmtId="167" fontId="24" fillId="5" borderId="4" xfId="8" applyFont="1" applyFill="1" applyBorder="1" applyAlignment="1">
      <alignment horizontal="right" vertical="center"/>
    </xf>
    <xf numFmtId="167" fontId="24" fillId="5" borderId="1" xfId="8" applyFont="1" applyFill="1" applyBorder="1" applyAlignment="1">
      <alignment horizontal="right" vertical="center"/>
    </xf>
    <xf numFmtId="43" fontId="7" fillId="4" borderId="1" xfId="4" applyNumberFormat="1" applyFont="1" applyFill="1" applyBorder="1"/>
    <xf numFmtId="43" fontId="25" fillId="5" borderId="1" xfId="0" applyNumberFormat="1" applyFont="1" applyFill="1" applyBorder="1" applyAlignment="1">
      <alignment horizontal="right" vertical="center"/>
    </xf>
    <xf numFmtId="175" fontId="25" fillId="5" borderId="5" xfId="0" applyNumberFormat="1" applyFont="1" applyFill="1" applyBorder="1" applyAlignment="1">
      <alignment horizontal="right" vertical="center"/>
    </xf>
    <xf numFmtId="175" fontId="21" fillId="5" borderId="9" xfId="0" applyNumberFormat="1" applyFont="1" applyFill="1" applyBorder="1" applyAlignment="1">
      <alignment horizontal="right" vertical="center"/>
    </xf>
    <xf numFmtId="0" fontId="10" fillId="0" borderId="0" xfId="0" applyFont="1"/>
    <xf numFmtId="1" fontId="20" fillId="0" borderId="12" xfId="6" applyNumberFormat="1" applyFont="1" applyBorder="1" applyAlignment="1">
      <alignment horizontal="center" vertical="center"/>
    </xf>
    <xf numFmtId="175" fontId="21" fillId="5" borderId="12" xfId="0" applyNumberFormat="1" applyFont="1" applyFill="1" applyBorder="1" applyAlignment="1">
      <alignment horizontal="right" vertical="center"/>
    </xf>
    <xf numFmtId="175" fontId="7" fillId="4" borderId="12" xfId="4" applyNumberFormat="1" applyFont="1" applyFill="1" applyBorder="1"/>
    <xf numFmtId="175" fontId="22" fillId="5" borderId="12" xfId="0" applyNumberFormat="1" applyFont="1" applyFill="1" applyBorder="1" applyAlignment="1">
      <alignment horizontal="right" vertical="center"/>
    </xf>
    <xf numFmtId="0" fontId="18" fillId="0" borderId="5" xfId="0" applyFont="1" applyBorder="1" applyAlignment="1">
      <alignment vertical="center"/>
    </xf>
    <xf numFmtId="176" fontId="24" fillId="5" borderId="4" xfId="4" applyNumberFormat="1" applyFont="1" applyFill="1" applyBorder="1" applyAlignment="1">
      <alignment horizontal="right" vertical="center"/>
    </xf>
    <xf numFmtId="176" fontId="24" fillId="5" borderId="1" xfId="4" applyNumberFormat="1" applyFont="1" applyFill="1" applyBorder="1" applyAlignment="1">
      <alignment horizontal="right" vertical="center"/>
    </xf>
    <xf numFmtId="176" fontId="7" fillId="4" borderId="1" xfId="4" applyNumberFormat="1" applyFont="1" applyFill="1" applyBorder="1"/>
    <xf numFmtId="176" fontId="22" fillId="5" borderId="1" xfId="4" applyNumberFormat="1" applyFont="1" applyFill="1" applyBorder="1" applyAlignment="1">
      <alignment horizontal="right" vertical="center"/>
    </xf>
    <xf numFmtId="0" fontId="19" fillId="0" borderId="5" xfId="0" applyFont="1" applyBorder="1" applyAlignment="1">
      <alignment horizontal="center" vertical="center"/>
    </xf>
    <xf numFmtId="176" fontId="24" fillId="5" borderId="10" xfId="4" applyNumberFormat="1" applyFont="1" applyFill="1" applyBorder="1" applyAlignment="1">
      <alignment horizontal="right" vertical="center"/>
    </xf>
    <xf numFmtId="176" fontId="24" fillId="5" borderId="5" xfId="4" applyNumberFormat="1" applyFont="1" applyFill="1" applyBorder="1" applyAlignment="1">
      <alignment horizontal="right" vertical="center"/>
    </xf>
    <xf numFmtId="176" fontId="7" fillId="4" borderId="5" xfId="4" applyNumberFormat="1" applyFont="1" applyFill="1" applyBorder="1"/>
    <xf numFmtId="176" fontId="22" fillId="5" borderId="5" xfId="4" applyNumberFormat="1" applyFont="1" applyFill="1" applyBorder="1" applyAlignment="1">
      <alignment horizontal="right" vertical="center"/>
    </xf>
    <xf numFmtId="0" fontId="19" fillId="0" borderId="9" xfId="0" applyFont="1" applyBorder="1" applyAlignment="1">
      <alignment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wrapText="1"/>
    </xf>
    <xf numFmtId="0" fontId="8" fillId="5" borderId="4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wrapText="1"/>
    </xf>
    <xf numFmtId="0" fontId="8" fillId="5" borderId="8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5" borderId="9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166" fontId="7" fillId="5" borderId="15" xfId="0" applyNumberFormat="1" applyFont="1" applyFill="1" applyBorder="1" applyAlignment="1">
      <alignment vertical="top"/>
    </xf>
    <xf numFmtId="166" fontId="7" fillId="5" borderId="12" xfId="0" applyNumberFormat="1" applyFont="1" applyFill="1" applyBorder="1" applyAlignment="1">
      <alignment vertical="top"/>
    </xf>
    <xf numFmtId="177" fontId="9" fillId="5" borderId="12" xfId="0" applyNumberFormat="1" applyFont="1" applyFill="1" applyBorder="1" applyAlignment="1">
      <alignment vertical="top"/>
    </xf>
    <xf numFmtId="177" fontId="7" fillId="5" borderId="12" xfId="0" applyNumberFormat="1" applyFont="1" applyFill="1" applyBorder="1" applyAlignment="1">
      <alignment vertical="top"/>
    </xf>
    <xf numFmtId="177" fontId="9" fillId="5" borderId="12" xfId="0" applyNumberFormat="1" applyFont="1" applyFill="1" applyBorder="1" applyAlignment="1">
      <alignment horizontal="right"/>
    </xf>
    <xf numFmtId="1" fontId="20" fillId="0" borderId="15" xfId="6" applyNumberFormat="1" applyFont="1" applyBorder="1" applyAlignment="1">
      <alignment horizontal="center" vertical="center"/>
    </xf>
    <xf numFmtId="175" fontId="21" fillId="5" borderId="15" xfId="0" applyNumberFormat="1" applyFont="1" applyFill="1" applyBorder="1" applyAlignment="1">
      <alignment horizontal="right" vertical="center"/>
    </xf>
    <xf numFmtId="177" fontId="22" fillId="5" borderId="12" xfId="0" applyNumberFormat="1" applyFont="1" applyFill="1" applyBorder="1" applyAlignment="1">
      <alignment horizontal="right" vertical="center"/>
    </xf>
    <xf numFmtId="177" fontId="21" fillId="5" borderId="12" xfId="0" applyNumberFormat="1" applyFont="1" applyFill="1" applyBorder="1" applyAlignment="1">
      <alignment horizontal="right" vertical="center"/>
    </xf>
    <xf numFmtId="9" fontId="21" fillId="5" borderId="12" xfId="9" applyFont="1" applyFill="1" applyBorder="1" applyAlignment="1">
      <alignment horizontal="right" vertical="center"/>
    </xf>
    <xf numFmtId="9" fontId="22" fillId="5" borderId="12" xfId="9" applyFont="1" applyFill="1" applyBorder="1" applyAlignment="1">
      <alignment horizontal="right" vertical="center"/>
    </xf>
    <xf numFmtId="175" fontId="22" fillId="0" borderId="1" xfId="0" applyNumberFormat="1" applyFont="1" applyBorder="1" applyAlignment="1">
      <alignment horizontal="right" vertical="center"/>
    </xf>
    <xf numFmtId="177" fontId="22" fillId="0" borderId="1" xfId="0" applyNumberFormat="1" applyFont="1" applyBorder="1" applyAlignment="1">
      <alignment horizontal="right" vertical="center"/>
    </xf>
    <xf numFmtId="177" fontId="21" fillId="0" borderId="1" xfId="0" applyNumberFormat="1" applyFont="1" applyBorder="1" applyAlignment="1">
      <alignment horizontal="right" vertical="center"/>
    </xf>
    <xf numFmtId="9" fontId="21" fillId="0" borderId="1" xfId="9" applyFont="1" applyFill="1" applyBorder="1" applyAlignment="1">
      <alignment horizontal="right" vertical="center"/>
    </xf>
    <xf numFmtId="9" fontId="22" fillId="0" borderId="1" xfId="9" applyFont="1" applyFill="1" applyBorder="1" applyAlignment="1">
      <alignment horizontal="right" vertical="center"/>
    </xf>
    <xf numFmtId="175" fontId="22" fillId="0" borderId="9" xfId="0" applyNumberFormat="1" applyFont="1" applyBorder="1" applyAlignment="1">
      <alignment horizontal="right" vertical="center"/>
    </xf>
    <xf numFmtId="177" fontId="22" fillId="0" borderId="9" xfId="0" applyNumberFormat="1" applyFont="1" applyBorder="1" applyAlignment="1">
      <alignment horizontal="right" vertical="center"/>
    </xf>
    <xf numFmtId="177" fontId="21" fillId="0" borderId="9" xfId="0" applyNumberFormat="1" applyFont="1" applyBorder="1" applyAlignment="1">
      <alignment horizontal="right" vertical="center"/>
    </xf>
    <xf numFmtId="9" fontId="21" fillId="0" borderId="9" xfId="9" applyFont="1" applyFill="1" applyBorder="1" applyAlignment="1">
      <alignment horizontal="right" vertical="center"/>
    </xf>
    <xf numFmtId="9" fontId="22" fillId="0" borderId="9" xfId="9" applyFont="1" applyFill="1" applyBorder="1" applyAlignment="1">
      <alignment horizontal="right" vertical="center"/>
    </xf>
    <xf numFmtId="0" fontId="19" fillId="0" borderId="15" xfId="0" applyFont="1" applyBorder="1" applyAlignment="1">
      <alignment horizontal="center" vertical="center"/>
    </xf>
    <xf numFmtId="167" fontId="24" fillId="5" borderId="15" xfId="8" applyFont="1" applyFill="1" applyBorder="1" applyAlignment="1">
      <alignment horizontal="right" vertical="center"/>
    </xf>
    <xf numFmtId="175" fontId="25" fillId="5" borderId="12" xfId="0" applyNumberFormat="1" applyFont="1" applyFill="1" applyBorder="1" applyAlignment="1">
      <alignment horizontal="right" vertical="center"/>
    </xf>
    <xf numFmtId="177" fontId="25" fillId="5" borderId="12" xfId="8" applyNumberFormat="1" applyFont="1" applyFill="1" applyBorder="1" applyAlignment="1">
      <alignment horizontal="right" vertical="center"/>
    </xf>
    <xf numFmtId="177" fontId="24" fillId="5" borderId="12" xfId="8" applyNumberFormat="1" applyFont="1" applyFill="1" applyBorder="1" applyAlignment="1">
      <alignment horizontal="right" vertical="center"/>
    </xf>
    <xf numFmtId="177" fontId="25" fillId="5" borderId="12" xfId="0" applyNumberFormat="1" applyFont="1" applyFill="1" applyBorder="1" applyAlignment="1">
      <alignment horizontal="right" vertical="center"/>
    </xf>
    <xf numFmtId="9" fontId="24" fillId="5" borderId="12" xfId="9" applyFont="1" applyFill="1" applyBorder="1" applyAlignment="1">
      <alignment horizontal="right" vertical="center"/>
    </xf>
    <xf numFmtId="9" fontId="25" fillId="5" borderId="12" xfId="9" applyFont="1" applyFill="1" applyBorder="1" applyAlignment="1">
      <alignment horizontal="right" vertical="center"/>
    </xf>
    <xf numFmtId="175" fontId="21" fillId="5" borderId="16" xfId="0" applyNumberFormat="1" applyFont="1" applyFill="1" applyBorder="1" applyAlignment="1">
      <alignment horizontal="right" vertical="center"/>
    </xf>
    <xf numFmtId="175" fontId="22" fillId="5" borderId="16" xfId="0" applyNumberFormat="1" applyFont="1" applyFill="1" applyBorder="1" applyAlignment="1">
      <alignment horizontal="right" vertical="center"/>
    </xf>
    <xf numFmtId="177" fontId="22" fillId="5" borderId="16" xfId="0" applyNumberFormat="1" applyFont="1" applyFill="1" applyBorder="1" applyAlignment="1">
      <alignment horizontal="right" vertical="center"/>
    </xf>
    <xf numFmtId="177" fontId="21" fillId="5" borderId="16" xfId="0" applyNumberFormat="1" applyFont="1" applyFill="1" applyBorder="1" applyAlignment="1">
      <alignment horizontal="right" vertical="center"/>
    </xf>
    <xf numFmtId="9" fontId="21" fillId="5" borderId="16" xfId="9" applyFont="1" applyFill="1" applyBorder="1" applyAlignment="1">
      <alignment horizontal="right" vertical="center"/>
    </xf>
    <xf numFmtId="9" fontId="22" fillId="5" borderId="16" xfId="9" applyFont="1" applyFill="1" applyBorder="1" applyAlignment="1">
      <alignment horizontal="right" vertical="center"/>
    </xf>
    <xf numFmtId="1" fontId="20" fillId="0" borderId="8" xfId="6" applyNumberFormat="1" applyFont="1" applyBorder="1" applyAlignment="1">
      <alignment horizontal="center" vertical="center"/>
    </xf>
    <xf numFmtId="177" fontId="22" fillId="5" borderId="9" xfId="0" applyNumberFormat="1" applyFont="1" applyFill="1" applyBorder="1" applyAlignment="1">
      <alignment horizontal="right" vertical="center"/>
    </xf>
    <xf numFmtId="177" fontId="21" fillId="5" borderId="9" xfId="0" applyNumberFormat="1" applyFont="1" applyFill="1" applyBorder="1" applyAlignment="1">
      <alignment horizontal="right" vertical="center"/>
    </xf>
    <xf numFmtId="9" fontId="21" fillId="5" borderId="9" xfId="9" applyFont="1" applyFill="1" applyBorder="1" applyAlignment="1">
      <alignment horizontal="right" vertical="center"/>
    </xf>
    <xf numFmtId="9" fontId="22" fillId="5" borderId="9" xfId="9" applyFont="1" applyFill="1" applyBorder="1" applyAlignment="1">
      <alignment horizontal="right" vertical="center"/>
    </xf>
    <xf numFmtId="175" fontId="7" fillId="0" borderId="0" xfId="0" applyNumberFormat="1" applyFont="1"/>
    <xf numFmtId="0" fontId="7" fillId="5" borderId="2" xfId="0" applyFont="1" applyFill="1" applyBorder="1" applyAlignment="1">
      <alignment horizontal="centerContinuous"/>
    </xf>
    <xf numFmtId="0" fontId="7" fillId="5" borderId="3" xfId="0" applyFont="1" applyFill="1" applyBorder="1" applyAlignment="1">
      <alignment horizontal="centerContinuous"/>
    </xf>
    <xf numFmtId="0" fontId="8" fillId="5" borderId="3" xfId="0" applyFont="1" applyFill="1" applyBorder="1" applyAlignment="1">
      <alignment horizontal="centerContinuous"/>
    </xf>
    <xf numFmtId="0" fontId="7" fillId="5" borderId="4" xfId="0" applyFont="1" applyFill="1" applyBorder="1" applyAlignment="1">
      <alignment horizontal="centerContinuous"/>
    </xf>
    <xf numFmtId="0" fontId="8" fillId="5" borderId="8" xfId="0" applyFont="1" applyFill="1" applyBorder="1" applyAlignment="1">
      <alignment horizontal="center" wrapText="1"/>
    </xf>
    <xf numFmtId="166" fontId="9" fillId="5" borderId="12" xfId="0" applyNumberFormat="1" applyFont="1" applyFill="1" applyBorder="1" applyAlignment="1">
      <alignment vertical="top"/>
    </xf>
    <xf numFmtId="178" fontId="21" fillId="5" borderId="15" xfId="0" applyNumberFormat="1" applyFont="1" applyFill="1" applyBorder="1" applyAlignment="1">
      <alignment horizontal="right" vertical="center"/>
    </xf>
    <xf numFmtId="178" fontId="21" fillId="5" borderId="12" xfId="0" applyNumberFormat="1" applyFont="1" applyFill="1" applyBorder="1" applyAlignment="1">
      <alignment horizontal="right" vertical="center"/>
    </xf>
    <xf numFmtId="178" fontId="22" fillId="5" borderId="12" xfId="0" applyNumberFormat="1" applyFont="1" applyFill="1" applyBorder="1" applyAlignment="1">
      <alignment horizontal="right" vertical="center"/>
    </xf>
    <xf numFmtId="172" fontId="21" fillId="5" borderId="15" xfId="9" applyNumberFormat="1" applyFont="1" applyFill="1" applyBorder="1" applyAlignment="1">
      <alignment horizontal="right" vertical="center"/>
    </xf>
    <xf numFmtId="172" fontId="21" fillId="5" borderId="12" xfId="9" applyNumberFormat="1" applyFont="1" applyFill="1" applyBorder="1" applyAlignment="1">
      <alignment horizontal="right" vertical="center"/>
    </xf>
    <xf numFmtId="172" fontId="22" fillId="5" borderId="12" xfId="9" applyNumberFormat="1" applyFont="1" applyFill="1" applyBorder="1" applyAlignment="1">
      <alignment horizontal="right" vertical="center"/>
    </xf>
    <xf numFmtId="178" fontId="21" fillId="0" borderId="1" xfId="0" applyNumberFormat="1" applyFont="1" applyBorder="1" applyAlignment="1">
      <alignment horizontal="right" vertical="center"/>
    </xf>
    <xf numFmtId="178" fontId="22" fillId="0" borderId="1" xfId="0" applyNumberFormat="1" applyFont="1" applyBorder="1" applyAlignment="1">
      <alignment horizontal="right" vertical="center"/>
    </xf>
    <xf numFmtId="172" fontId="21" fillId="0" borderId="1" xfId="9" applyNumberFormat="1" applyFont="1" applyFill="1" applyBorder="1" applyAlignment="1">
      <alignment horizontal="right" vertical="center"/>
    </xf>
    <xf numFmtId="172" fontId="22" fillId="0" borderId="1" xfId="9" applyNumberFormat="1" applyFont="1" applyFill="1" applyBorder="1" applyAlignment="1">
      <alignment horizontal="right" vertical="center"/>
    </xf>
    <xf numFmtId="178" fontId="21" fillId="0" borderId="9" xfId="0" applyNumberFormat="1" applyFont="1" applyBorder="1" applyAlignment="1">
      <alignment horizontal="right" vertical="center"/>
    </xf>
    <xf numFmtId="178" fontId="22" fillId="0" borderId="9" xfId="0" applyNumberFormat="1" applyFont="1" applyBorder="1" applyAlignment="1">
      <alignment horizontal="right" vertical="center"/>
    </xf>
    <xf numFmtId="172" fontId="21" fillId="0" borderId="9" xfId="9" applyNumberFormat="1" applyFont="1" applyFill="1" applyBorder="1" applyAlignment="1">
      <alignment horizontal="right" vertical="center"/>
    </xf>
    <xf numFmtId="172" fontId="22" fillId="0" borderId="9" xfId="9" applyNumberFormat="1" applyFont="1" applyFill="1" applyBorder="1" applyAlignment="1">
      <alignment horizontal="right" vertical="center"/>
    </xf>
    <xf numFmtId="178" fontId="24" fillId="5" borderId="15" xfId="8" applyNumberFormat="1" applyFont="1" applyFill="1" applyBorder="1" applyAlignment="1">
      <alignment horizontal="right" vertical="center"/>
    </xf>
    <xf numFmtId="178" fontId="24" fillId="5" borderId="12" xfId="8" applyNumberFormat="1" applyFont="1" applyFill="1" applyBorder="1" applyAlignment="1">
      <alignment horizontal="right" vertical="center"/>
    </xf>
    <xf numFmtId="178" fontId="25" fillId="5" borderId="12" xfId="0" applyNumberFormat="1" applyFont="1" applyFill="1" applyBorder="1" applyAlignment="1">
      <alignment horizontal="right" vertical="center"/>
    </xf>
    <xf numFmtId="172" fontId="24" fillId="5" borderId="15" xfId="9" applyNumberFormat="1" applyFont="1" applyFill="1" applyBorder="1" applyAlignment="1">
      <alignment horizontal="right" vertical="center"/>
    </xf>
    <xf numFmtId="172" fontId="24" fillId="5" borderId="12" xfId="9" applyNumberFormat="1" applyFont="1" applyFill="1" applyBorder="1" applyAlignment="1">
      <alignment horizontal="right" vertical="center"/>
    </xf>
    <xf numFmtId="172" fontId="25" fillId="5" borderId="12" xfId="9" applyNumberFormat="1" applyFont="1" applyFill="1" applyBorder="1" applyAlignment="1">
      <alignment horizontal="right" vertical="center"/>
    </xf>
    <xf numFmtId="178" fontId="21" fillId="5" borderId="16" xfId="0" applyNumberFormat="1" applyFont="1" applyFill="1" applyBorder="1" applyAlignment="1">
      <alignment horizontal="right" vertical="center"/>
    </xf>
    <xf numFmtId="178" fontId="22" fillId="5" borderId="16" xfId="0" applyNumberFormat="1" applyFont="1" applyFill="1" applyBorder="1" applyAlignment="1">
      <alignment horizontal="right" vertical="center"/>
    </xf>
    <xf numFmtId="172" fontId="21" fillId="5" borderId="16" xfId="9" applyNumberFormat="1" applyFont="1" applyFill="1" applyBorder="1" applyAlignment="1">
      <alignment horizontal="right" vertical="center"/>
    </xf>
    <xf numFmtId="172" fontId="22" fillId="5" borderId="16" xfId="9" applyNumberFormat="1" applyFont="1" applyFill="1" applyBorder="1" applyAlignment="1">
      <alignment horizontal="right" vertical="center"/>
    </xf>
    <xf numFmtId="178" fontId="21" fillId="5" borderId="8" xfId="0" applyNumberFormat="1" applyFont="1" applyFill="1" applyBorder="1" applyAlignment="1">
      <alignment horizontal="right" vertical="center"/>
    </xf>
    <xf numFmtId="178" fontId="21" fillId="5" borderId="9" xfId="0" applyNumberFormat="1" applyFont="1" applyFill="1" applyBorder="1" applyAlignment="1">
      <alignment horizontal="right" vertical="center"/>
    </xf>
    <xf numFmtId="178" fontId="22" fillId="5" borderId="9" xfId="0" applyNumberFormat="1" applyFont="1" applyFill="1" applyBorder="1" applyAlignment="1">
      <alignment horizontal="right" vertical="center"/>
    </xf>
    <xf numFmtId="172" fontId="21" fillId="5" borderId="8" xfId="9" applyNumberFormat="1" applyFont="1" applyFill="1" applyBorder="1" applyAlignment="1">
      <alignment horizontal="right" vertical="center"/>
    </xf>
    <xf numFmtId="172" fontId="21" fillId="5" borderId="9" xfId="9" applyNumberFormat="1" applyFont="1" applyFill="1" applyBorder="1" applyAlignment="1">
      <alignment horizontal="right" vertical="center"/>
    </xf>
    <xf numFmtId="172" fontId="22" fillId="5" borderId="9" xfId="9" applyNumberFormat="1" applyFont="1" applyFill="1" applyBorder="1" applyAlignment="1">
      <alignment horizontal="right" vertical="center"/>
    </xf>
    <xf numFmtId="175" fontId="8" fillId="0" borderId="0" xfId="0" applyNumberFormat="1" applyFont="1"/>
    <xf numFmtId="0" fontId="26" fillId="0" borderId="0" xfId="3" applyFont="1"/>
    <xf numFmtId="0" fontId="29" fillId="0" borderId="0" xfId="0" applyFont="1"/>
    <xf numFmtId="0" fontId="7" fillId="0" borderId="5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19" fillId="0" borderId="12" xfId="0" applyFont="1" applyBorder="1" applyAlignment="1">
      <alignment vertic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0" fillId="0" borderId="1" xfId="0" applyFont="1" applyBorder="1" applyAlignment="1">
      <alignment wrapText="1"/>
    </xf>
    <xf numFmtId="0" fontId="8" fillId="5" borderId="1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vertical="center"/>
    </xf>
    <xf numFmtId="0" fontId="8" fillId="5" borderId="6" xfId="0" applyFont="1" applyFill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22" fillId="5" borderId="12" xfId="1" applyNumberFormat="1" applyFont="1" applyFill="1" applyBorder="1" applyAlignment="1">
      <alignment horizontal="right" vertical="center"/>
    </xf>
    <xf numFmtId="9" fontId="22" fillId="5" borderId="12" xfId="1" applyFont="1" applyFill="1" applyBorder="1" applyAlignment="1">
      <alignment horizontal="right" vertical="center"/>
    </xf>
    <xf numFmtId="0" fontId="8" fillId="5" borderId="12" xfId="0" applyFont="1" applyFill="1" applyBorder="1" applyAlignment="1">
      <alignment horizontal="center" wrapText="1"/>
    </xf>
    <xf numFmtId="43" fontId="7" fillId="0" borderId="0" xfId="0" applyNumberFormat="1" applyFont="1"/>
    <xf numFmtId="0" fontId="8" fillId="5" borderId="4" xfId="0" applyFont="1" applyFill="1" applyBorder="1" applyAlignment="1">
      <alignment vertical="center"/>
    </xf>
    <xf numFmtId="0" fontId="8" fillId="5" borderId="8" xfId="0" applyFont="1" applyFill="1" applyBorder="1" applyAlignment="1">
      <alignment vertical="center"/>
    </xf>
    <xf numFmtId="179" fontId="22" fillId="5" borderId="12" xfId="0" applyNumberFormat="1" applyFont="1" applyFill="1" applyBorder="1" applyAlignment="1">
      <alignment horizontal="right" vertical="center"/>
    </xf>
    <xf numFmtId="179" fontId="22" fillId="6" borderId="12" xfId="0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wrapText="1"/>
    </xf>
    <xf numFmtId="0" fontId="8" fillId="5" borderId="20" xfId="0" applyFont="1" applyFill="1" applyBorder="1" applyAlignment="1">
      <alignment vertical="center" wrapText="1"/>
    </xf>
    <xf numFmtId="0" fontId="8" fillId="5" borderId="21" xfId="0" applyFont="1" applyFill="1" applyBorder="1" applyAlignment="1">
      <alignment vertical="center" wrapText="1"/>
    </xf>
    <xf numFmtId="0" fontId="8" fillId="5" borderId="22" xfId="0" applyFont="1" applyFill="1" applyBorder="1" applyAlignment="1">
      <alignment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179" fontId="22" fillId="5" borderId="12" xfId="4" applyNumberFormat="1" applyFont="1" applyFill="1" applyBorder="1" applyAlignment="1">
      <alignment horizontal="right" vertical="center"/>
    </xf>
    <xf numFmtId="0" fontId="7" fillId="0" borderId="0" xfId="10" applyFont="1" applyAlignment="1">
      <alignment wrapText="1"/>
    </xf>
    <xf numFmtId="0" fontId="8" fillId="5" borderId="13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8" fillId="5" borderId="14" xfId="0" applyFont="1" applyFill="1" applyBorder="1" applyAlignment="1">
      <alignment horizontal="center"/>
    </xf>
    <xf numFmtId="0" fontId="8" fillId="5" borderId="15" xfId="0" applyFont="1" applyFill="1" applyBorder="1" applyAlignment="1">
      <alignment horizontal="center"/>
    </xf>
    <xf numFmtId="0" fontId="9" fillId="0" borderId="12" xfId="10" applyFont="1" applyBorder="1" applyAlignment="1">
      <alignment wrapText="1"/>
    </xf>
    <xf numFmtId="3" fontId="9" fillId="6" borderId="1" xfId="11" applyNumberFormat="1" applyFont="1" applyFill="1" applyBorder="1" applyAlignment="1">
      <alignment horizontal="right"/>
    </xf>
    <xf numFmtId="0" fontId="7" fillId="0" borderId="11" xfId="10" applyFont="1" applyBorder="1" applyAlignment="1">
      <alignment wrapText="1"/>
    </xf>
    <xf numFmtId="0" fontId="30" fillId="0" borderId="11" xfId="10" applyFont="1" applyBorder="1" applyAlignment="1">
      <alignment wrapText="1"/>
    </xf>
    <xf numFmtId="3" fontId="9" fillId="6" borderId="9" xfId="11" applyNumberFormat="1" applyFont="1" applyFill="1" applyBorder="1" applyAlignment="1">
      <alignment horizontal="right"/>
    </xf>
    <xf numFmtId="0" fontId="7" fillId="0" borderId="12" xfId="3" applyFont="1" applyBorder="1" applyAlignment="1" applyProtection="1">
      <alignment wrapText="1"/>
      <protection hidden="1"/>
    </xf>
    <xf numFmtId="3" fontId="9" fillId="6" borderId="12" xfId="11" applyNumberFormat="1" applyFont="1" applyFill="1" applyBorder="1" applyAlignment="1">
      <alignment horizontal="right"/>
    </xf>
    <xf numFmtId="0" fontId="9" fillId="0" borderId="12" xfId="3" applyFont="1" applyBorder="1" applyAlignment="1" applyProtection="1">
      <alignment wrapText="1"/>
      <protection hidden="1"/>
    </xf>
    <xf numFmtId="10" fontId="9" fillId="7" borderId="12" xfId="12" applyNumberFormat="1" applyFont="1" applyFill="1" applyBorder="1" applyAlignment="1">
      <alignment horizontal="right"/>
    </xf>
    <xf numFmtId="170" fontId="9" fillId="7" borderId="12" xfId="1" applyNumberFormat="1" applyFont="1" applyFill="1" applyBorder="1" applyAlignment="1">
      <alignment horizontal="right"/>
    </xf>
    <xf numFmtId="0" fontId="7" fillId="0" borderId="5" xfId="10" applyFont="1" applyBorder="1" applyAlignment="1">
      <alignment wrapText="1"/>
    </xf>
    <xf numFmtId="0" fontId="30" fillId="0" borderId="5" xfId="10" applyFont="1" applyBorder="1" applyAlignment="1">
      <alignment wrapText="1"/>
    </xf>
    <xf numFmtId="170" fontId="9" fillId="7" borderId="12" xfId="12" applyNumberFormat="1" applyFont="1" applyFill="1" applyBorder="1" applyAlignment="1">
      <alignment horizontal="right"/>
    </xf>
    <xf numFmtId="170" fontId="7" fillId="4" borderId="12" xfId="1" applyNumberFormat="1" applyFont="1" applyFill="1" applyBorder="1"/>
    <xf numFmtId="0" fontId="31" fillId="0" borderId="0" xfId="13" applyFont="1" applyAlignment="1">
      <alignment vertical="center" wrapText="1"/>
    </xf>
    <xf numFmtId="0" fontId="32" fillId="0" borderId="1" xfId="14" applyFont="1" applyBorder="1" applyAlignment="1">
      <alignment vertical="center" wrapText="1"/>
    </xf>
    <xf numFmtId="0" fontId="32" fillId="0" borderId="12" xfId="14" applyFont="1" applyBorder="1" applyAlignment="1">
      <alignment vertical="center" wrapText="1"/>
    </xf>
    <xf numFmtId="175" fontId="22" fillId="6" borderId="12" xfId="0" applyNumberFormat="1" applyFont="1" applyFill="1" applyBorder="1" applyAlignment="1">
      <alignment horizontal="right" vertical="center"/>
    </xf>
    <xf numFmtId="9" fontId="32" fillId="5" borderId="12" xfId="0" applyNumberFormat="1" applyFont="1" applyFill="1" applyBorder="1"/>
    <xf numFmtId="9" fontId="7" fillId="4" borderId="12" xfId="1" applyFont="1" applyFill="1" applyBorder="1"/>
    <xf numFmtId="0" fontId="32" fillId="5" borderId="12" xfId="0" applyFont="1" applyFill="1" applyBorder="1" applyAlignment="1">
      <alignment wrapText="1"/>
    </xf>
    <xf numFmtId="0" fontId="7" fillId="5" borderId="4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/>
    </xf>
    <xf numFmtId="0" fontId="9" fillId="5" borderId="14" xfId="0" applyFont="1" applyFill="1" applyBorder="1" applyAlignment="1">
      <alignment horizontal="center"/>
    </xf>
    <xf numFmtId="0" fontId="9" fillId="5" borderId="15" xfId="0" applyFont="1" applyFill="1" applyBorder="1" applyAlignment="1">
      <alignment horizontal="center"/>
    </xf>
    <xf numFmtId="0" fontId="8" fillId="0" borderId="0" xfId="0" applyFont="1" applyAlignment="1">
      <alignment horizontal="left" vertical="top" wrapText="1"/>
    </xf>
    <xf numFmtId="170" fontId="22" fillId="5" borderId="12" xfId="1" applyNumberFormat="1" applyFont="1" applyFill="1" applyBorder="1" applyAlignment="1">
      <alignment horizontal="right" vertical="center"/>
    </xf>
    <xf numFmtId="180" fontId="22" fillId="5" borderId="12" xfId="0" applyNumberFormat="1" applyFont="1" applyFill="1" applyBorder="1" applyAlignment="1">
      <alignment horizontal="right" vertical="center"/>
    </xf>
    <xf numFmtId="170" fontId="22" fillId="5" borderId="12" xfId="12" applyNumberFormat="1" applyFont="1" applyFill="1" applyBorder="1" applyAlignment="1">
      <alignment horizontal="right" vertical="center"/>
    </xf>
    <xf numFmtId="10" fontId="22" fillId="5" borderId="12" xfId="12" applyNumberFormat="1" applyFont="1" applyFill="1" applyBorder="1" applyAlignment="1">
      <alignment horizontal="right" vertical="center"/>
    </xf>
    <xf numFmtId="0" fontId="35" fillId="0" borderId="0" xfId="10" applyFont="1" applyAlignment="1">
      <alignment horizontal="left"/>
    </xf>
    <xf numFmtId="0" fontId="7" fillId="0" borderId="0" xfId="14" applyFont="1"/>
    <xf numFmtId="0" fontId="4" fillId="5" borderId="9" xfId="14" applyFont="1" applyFill="1" applyBorder="1" applyAlignment="1">
      <alignment horizontal="center" vertical="center" wrapText="1"/>
    </xf>
    <xf numFmtId="179" fontId="8" fillId="5" borderId="12" xfId="4" applyNumberFormat="1" applyFont="1" applyFill="1" applyBorder="1" applyAlignment="1">
      <alignment horizontal="center" vertical="center" wrapText="1"/>
    </xf>
    <xf numFmtId="0" fontId="36" fillId="0" borderId="0" xfId="15" applyAlignment="1" applyProtection="1"/>
    <xf numFmtId="175" fontId="22" fillId="6" borderId="0" xfId="0" applyNumberFormat="1" applyFont="1" applyFill="1" applyAlignment="1">
      <alignment horizontal="right" vertical="center"/>
    </xf>
    <xf numFmtId="175" fontId="22" fillId="6" borderId="10" xfId="0" applyNumberFormat="1" applyFont="1" applyFill="1" applyBorder="1" applyAlignment="1">
      <alignment horizontal="right" vertical="center"/>
    </xf>
    <xf numFmtId="175" fontId="22" fillId="8" borderId="12" xfId="0" applyNumberFormat="1" applyFont="1" applyFill="1" applyBorder="1" applyAlignment="1">
      <alignment horizontal="right" vertical="center"/>
    </xf>
    <xf numFmtId="9" fontId="22" fillId="5" borderId="12" xfId="12" applyFont="1" applyFill="1" applyBorder="1" applyAlignment="1">
      <alignment horizontal="right" vertical="center"/>
    </xf>
    <xf numFmtId="43" fontId="0" fillId="0" borderId="0" xfId="0" applyNumberFormat="1"/>
    <xf numFmtId="181" fontId="22" fillId="8" borderId="12" xfId="0" applyNumberFormat="1" applyFont="1" applyFill="1" applyBorder="1" applyAlignment="1">
      <alignment horizontal="right" vertical="center"/>
    </xf>
    <xf numFmtId="181" fontId="22" fillId="6" borderId="0" xfId="0" applyNumberFormat="1" applyFont="1" applyFill="1" applyAlignment="1">
      <alignment horizontal="right" vertical="center"/>
    </xf>
    <xf numFmtId="181" fontId="22" fillId="6" borderId="23" xfId="0" applyNumberFormat="1" applyFont="1" applyFill="1" applyBorder="1" applyAlignment="1">
      <alignment horizontal="right" vertical="center"/>
    </xf>
    <xf numFmtId="181" fontId="22" fillId="5" borderId="12" xfId="0" applyNumberFormat="1" applyFont="1" applyFill="1" applyBorder="1" applyAlignment="1">
      <alignment horizontal="right" vertical="center"/>
    </xf>
    <xf numFmtId="170" fontId="7" fillId="0" borderId="0" xfId="1" applyNumberFormat="1" applyFont="1"/>
    <xf numFmtId="9" fontId="0" fillId="0" borderId="0" xfId="1" applyFont="1"/>
    <xf numFmtId="10" fontId="0" fillId="0" borderId="0" xfId="1" applyNumberFormat="1" applyFont="1"/>
    <xf numFmtId="164" fontId="37" fillId="2" borderId="0" xfId="2" applyNumberFormat="1" applyFont="1" applyFill="1"/>
    <xf numFmtId="164" fontId="3" fillId="2" borderId="0" xfId="2" applyNumberFormat="1" applyFont="1" applyFill="1" applyAlignment="1">
      <alignment horizontal="center"/>
    </xf>
    <xf numFmtId="0" fontId="39" fillId="0" borderId="0" xfId="16" applyFont="1"/>
    <xf numFmtId="0" fontId="40" fillId="0" borderId="0" xfId="17" applyFont="1"/>
    <xf numFmtId="164" fontId="37" fillId="6" borderId="0" xfId="2" applyNumberFormat="1" applyFont="1" applyFill="1"/>
    <xf numFmtId="164" fontId="3" fillId="6" borderId="0" xfId="2" applyNumberFormat="1" applyFont="1" applyFill="1" applyAlignment="1">
      <alignment horizontal="center"/>
    </xf>
    <xf numFmtId="0" fontId="41" fillId="6" borderId="17" xfId="16" applyFont="1" applyFill="1" applyBorder="1" applyAlignment="1">
      <alignment vertical="center" wrapText="1"/>
    </xf>
    <xf numFmtId="0" fontId="41" fillId="6" borderId="18" xfId="16" applyFont="1" applyFill="1" applyBorder="1" applyAlignment="1">
      <alignment vertical="center" wrapText="1"/>
    </xf>
    <xf numFmtId="0" fontId="42" fillId="6" borderId="18" xfId="16" applyFont="1" applyFill="1" applyBorder="1" applyAlignment="1">
      <alignment vertical="center" wrapText="1"/>
    </xf>
    <xf numFmtId="0" fontId="43" fillId="6" borderId="24" xfId="16" applyFont="1" applyFill="1" applyBorder="1" applyAlignment="1">
      <alignment horizontal="center" wrapText="1"/>
    </xf>
    <xf numFmtId="0" fontId="39" fillId="6" borderId="25" xfId="16" applyFont="1" applyFill="1" applyBorder="1" applyAlignment="1">
      <alignment vertical="center" wrapText="1"/>
    </xf>
    <xf numFmtId="0" fontId="39" fillId="6" borderId="12" xfId="16" applyFont="1" applyFill="1" applyBorder="1" applyAlignment="1">
      <alignment vertical="center" wrapText="1"/>
    </xf>
    <xf numFmtId="175" fontId="39" fillId="3" borderId="9" xfId="18" applyNumberFormat="1" applyFont="1" applyFill="1" applyBorder="1" applyAlignment="1">
      <alignment horizontal="center" vertical="center" wrapText="1"/>
    </xf>
    <xf numFmtId="0" fontId="39" fillId="6" borderId="26" xfId="16" applyFont="1" applyFill="1" applyBorder="1" applyAlignment="1">
      <alignment vertical="center" wrapText="1"/>
    </xf>
    <xf numFmtId="0" fontId="39" fillId="6" borderId="27" xfId="16" applyFont="1" applyFill="1" applyBorder="1" applyAlignment="1">
      <alignment vertical="center" wrapText="1"/>
    </xf>
    <xf numFmtId="175" fontId="39" fillId="3" borderId="27" xfId="18" applyNumberFormat="1" applyFont="1" applyFill="1" applyBorder="1" applyAlignment="1">
      <alignment horizontal="center" vertical="center" wrapText="1"/>
    </xf>
    <xf numFmtId="0" fontId="44" fillId="0" borderId="0" xfId="16" applyFont="1"/>
    <xf numFmtId="0" fontId="45" fillId="6" borderId="18" xfId="16" applyFont="1" applyFill="1" applyBorder="1" applyAlignment="1">
      <alignment horizontal="center" vertical="center" wrapText="1"/>
    </xf>
    <xf numFmtId="0" fontId="45" fillId="6" borderId="18" xfId="16" applyFont="1" applyFill="1" applyBorder="1" applyAlignment="1">
      <alignment horizontal="center" wrapText="1"/>
    </xf>
    <xf numFmtId="182" fontId="39" fillId="3" borderId="27" xfId="16" applyNumberFormat="1" applyFont="1" applyFill="1" applyBorder="1" applyAlignment="1">
      <alignment horizontal="center" vertical="center" wrapText="1"/>
    </xf>
    <xf numFmtId="0" fontId="39" fillId="6" borderId="28" xfId="16" applyFont="1" applyFill="1" applyBorder="1" applyAlignment="1">
      <alignment horizontal="left" vertical="center" wrapText="1"/>
    </xf>
    <xf numFmtId="175" fontId="46" fillId="3" borderId="12" xfId="18" applyNumberFormat="1" applyFont="1" applyFill="1" applyBorder="1" applyAlignment="1">
      <alignment horizontal="center" vertical="center" wrapText="1"/>
    </xf>
    <xf numFmtId="0" fontId="39" fillId="6" borderId="29" xfId="16" applyFont="1" applyFill="1" applyBorder="1" applyAlignment="1">
      <alignment horizontal="left" vertical="center" wrapText="1"/>
    </xf>
    <xf numFmtId="0" fontId="46" fillId="3" borderId="12" xfId="19" applyNumberFormat="1" applyFont="1" applyFill="1" applyBorder="1" applyAlignment="1">
      <alignment horizontal="center" vertical="center" wrapText="1"/>
    </xf>
    <xf numFmtId="0" fontId="39" fillId="6" borderId="30" xfId="16" applyFont="1" applyFill="1" applyBorder="1" applyAlignment="1">
      <alignment horizontal="left" vertical="center" wrapText="1"/>
    </xf>
    <xf numFmtId="0" fontId="46" fillId="3" borderId="12" xfId="16" applyFont="1" applyFill="1" applyBorder="1" applyAlignment="1">
      <alignment horizontal="center" vertical="center" wrapText="1"/>
    </xf>
    <xf numFmtId="2" fontId="46" fillId="3" borderId="12" xfId="16" applyNumberFormat="1" applyFont="1" applyFill="1" applyBorder="1" applyAlignment="1">
      <alignment horizontal="center" vertical="center" wrapText="1"/>
    </xf>
    <xf numFmtId="0" fontId="39" fillId="0" borderId="20" xfId="16" applyFont="1" applyBorder="1"/>
    <xf numFmtId="0" fontId="39" fillId="0" borderId="21" xfId="16" applyFont="1" applyBorder="1"/>
    <xf numFmtId="0" fontId="39" fillId="0" borderId="21" xfId="16" applyFont="1" applyBorder="1" applyAlignment="1">
      <alignment horizontal="center"/>
    </xf>
    <xf numFmtId="0" fontId="41" fillId="6" borderId="31" xfId="16" applyFont="1" applyFill="1" applyBorder="1" applyAlignment="1">
      <alignment vertical="center" wrapText="1"/>
    </xf>
    <xf numFmtId="0" fontId="41" fillId="6" borderId="0" xfId="16" applyFont="1" applyFill="1" applyAlignment="1">
      <alignment vertical="center" wrapText="1"/>
    </xf>
    <xf numFmtId="0" fontId="42" fillId="6" borderId="0" xfId="16" applyFont="1" applyFill="1" applyAlignment="1">
      <alignment vertical="center" wrapText="1"/>
    </xf>
    <xf numFmtId="0" fontId="45" fillId="6" borderId="0" xfId="16" applyFont="1" applyFill="1" applyAlignment="1">
      <alignment horizontal="center" wrapText="1"/>
    </xf>
    <xf numFmtId="2" fontId="46" fillId="3" borderId="12" xfId="16" applyNumberFormat="1" applyFont="1" applyFill="1" applyBorder="1" applyAlignment="1">
      <alignment horizontal="center" wrapText="1"/>
    </xf>
    <xf numFmtId="0" fontId="46" fillId="6" borderId="32" xfId="16" applyFont="1" applyFill="1" applyBorder="1" applyAlignment="1">
      <alignment vertical="center" wrapText="1"/>
    </xf>
    <xf numFmtId="0" fontId="39" fillId="6" borderId="1" xfId="16" applyFont="1" applyFill="1" applyBorder="1" applyAlignment="1">
      <alignment vertical="center" wrapText="1"/>
    </xf>
    <xf numFmtId="167" fontId="46" fillId="3" borderId="1" xfId="18" applyFont="1" applyFill="1" applyBorder="1" applyAlignment="1">
      <alignment horizontal="center" vertical="center" wrapText="1"/>
    </xf>
    <xf numFmtId="0" fontId="41" fillId="6" borderId="17" xfId="16" applyFont="1" applyFill="1" applyBorder="1" applyAlignment="1">
      <alignment vertical="center" wrapText="1"/>
    </xf>
    <xf numFmtId="0" fontId="45" fillId="6" borderId="18" xfId="16" applyFont="1" applyFill="1" applyBorder="1" applyAlignment="1">
      <alignment vertical="center" wrapText="1"/>
    </xf>
    <xf numFmtId="0" fontId="47" fillId="6" borderId="18" xfId="16" applyFont="1" applyFill="1" applyBorder="1" applyAlignment="1">
      <alignment horizontal="center" wrapText="1"/>
    </xf>
    <xf numFmtId="0" fontId="39" fillId="6" borderId="25" xfId="16" applyFont="1" applyFill="1" applyBorder="1" applyAlignment="1">
      <alignment horizontal="left" vertical="center" wrapText="1"/>
    </xf>
    <xf numFmtId="0" fontId="45" fillId="6" borderId="12" xfId="16" applyFont="1" applyFill="1" applyBorder="1" applyAlignment="1">
      <alignment vertical="center" wrapText="1"/>
    </xf>
    <xf numFmtId="170" fontId="46" fillId="3" borderId="12" xfId="16" applyNumberFormat="1" applyFont="1" applyFill="1" applyBorder="1" applyAlignment="1">
      <alignment horizontal="center" vertical="center" wrapText="1"/>
    </xf>
    <xf numFmtId="0" fontId="39" fillId="6" borderId="12" xfId="16" applyFont="1" applyFill="1" applyBorder="1" applyAlignment="1">
      <alignment horizontal="left" vertical="center" wrapText="1"/>
    </xf>
    <xf numFmtId="170" fontId="46" fillId="3" borderId="12" xfId="16" applyNumberFormat="1" applyFont="1" applyFill="1" applyBorder="1" applyAlignment="1">
      <alignment horizontal="center" wrapText="1"/>
    </xf>
    <xf numFmtId="0" fontId="39" fillId="3" borderId="12" xfId="16" applyFont="1" applyFill="1" applyBorder="1" applyAlignment="1">
      <alignment horizontal="center" wrapText="1"/>
    </xf>
    <xf numFmtId="0" fontId="46" fillId="6" borderId="26" xfId="16" applyFont="1" applyFill="1" applyBorder="1" applyAlignment="1">
      <alignment horizontal="left" vertical="center" wrapText="1"/>
    </xf>
    <xf numFmtId="9" fontId="46" fillId="3" borderId="12" xfId="16" applyNumberFormat="1" applyFont="1" applyFill="1" applyBorder="1" applyAlignment="1">
      <alignment horizontal="center" vertical="center" wrapText="1"/>
    </xf>
    <xf numFmtId="0" fontId="39" fillId="6" borderId="32" xfId="16" applyFont="1" applyFill="1" applyBorder="1" applyAlignment="1">
      <alignment vertical="center" wrapText="1"/>
    </xf>
    <xf numFmtId="170" fontId="46" fillId="3" borderId="1" xfId="19" applyNumberFormat="1" applyFont="1" applyFill="1" applyBorder="1" applyAlignment="1">
      <alignment horizontal="center" wrapText="1"/>
    </xf>
    <xf numFmtId="3" fontId="39" fillId="3" borderId="12" xfId="16" applyNumberFormat="1" applyFont="1" applyFill="1" applyBorder="1" applyAlignment="1">
      <alignment horizontal="center" wrapText="1"/>
    </xf>
    <xf numFmtId="9" fontId="46" fillId="3" borderId="9" xfId="19" applyFont="1" applyFill="1" applyBorder="1" applyAlignment="1">
      <alignment horizontal="center" wrapText="1"/>
    </xf>
    <xf numFmtId="0" fontId="39" fillId="3" borderId="1" xfId="16" applyFont="1" applyFill="1" applyBorder="1" applyAlignment="1">
      <alignment horizontal="center" wrapText="1"/>
    </xf>
    <xf numFmtId="0" fontId="43" fillId="6" borderId="18" xfId="16" applyFont="1" applyFill="1" applyBorder="1" applyAlignment="1">
      <alignment horizontal="center" wrapText="1"/>
    </xf>
    <xf numFmtId="0" fontId="45" fillId="6" borderId="21" xfId="16" applyFont="1" applyFill="1" applyBorder="1" applyAlignment="1">
      <alignment vertical="center" wrapText="1"/>
    </xf>
    <xf numFmtId="0" fontId="45" fillId="6" borderId="33" xfId="16" applyFont="1" applyFill="1" applyBorder="1" applyAlignment="1">
      <alignment vertical="center" wrapText="1"/>
    </xf>
    <xf numFmtId="1" fontId="39" fillId="3" borderId="27" xfId="16" applyNumberFormat="1" applyFont="1" applyFill="1" applyBorder="1" applyAlignment="1">
      <alignment horizontal="center" wrapText="1"/>
    </xf>
    <xf numFmtId="0" fontId="39" fillId="0" borderId="0" xfId="16" applyFont="1" applyAlignment="1">
      <alignment wrapText="1"/>
    </xf>
    <xf numFmtId="0" fontId="39" fillId="0" borderId="0" xfId="16" applyFont="1" applyAlignment="1">
      <alignment horizontal="center" wrapText="1"/>
    </xf>
    <xf numFmtId="0" fontId="39" fillId="0" borderId="0" xfId="16" applyFont="1" applyAlignment="1">
      <alignment horizontal="center"/>
    </xf>
  </cellXfs>
  <cellStyles count="20">
    <cellStyle name="%" xfId="2" xr:uid="{AF27F5AB-9D64-437C-9C0C-81A35DD0E95E}"/>
    <cellStyle name="=C:\WINNT\SYSTEM32\COMMAND.COM 2 2" xfId="17" xr:uid="{D4046455-8EC7-40C9-BA5A-145117B35DD8}"/>
    <cellStyle name="Comma 2" xfId="4" xr:uid="{E63C7831-8483-4D5D-AB51-01C0A7DA0DB4}"/>
    <cellStyle name="Comma 20" xfId="8" xr:uid="{49575AE5-91F4-4DB6-8B3E-BC0AABAC1E87}"/>
    <cellStyle name="Comma 22" xfId="18" xr:uid="{38B3F639-0F0D-4A53-89BF-0B04FC6A52CF}"/>
    <cellStyle name="Hyperlink" xfId="15" builtinId="8"/>
    <cellStyle name="Normal" xfId="0" builtinId="0"/>
    <cellStyle name="Normal - Style1 2" xfId="3" xr:uid="{79F690D3-DD57-4D13-BDAF-7E7BD219F4FC}"/>
    <cellStyle name="Normal 16 3 2 2 3 14 3 2" xfId="13" xr:uid="{6F443D8C-1BF8-426B-BC7D-65DD57E5AB45}"/>
    <cellStyle name="Normal 2" xfId="7" xr:uid="{A5E10A21-2412-4682-BC4C-9A824B424098}"/>
    <cellStyle name="Normal 2 10" xfId="11" xr:uid="{A0CD17F8-EEFF-4FD8-80AF-79171CC862D1}"/>
    <cellStyle name="Normal 2 2 2 2 2" xfId="6" xr:uid="{632E5D59-0FF3-42A5-AEEF-ED90215683BC}"/>
    <cellStyle name="Normal 7 5 2" xfId="14" xr:uid="{8159DAA2-3EDD-4D6B-96C8-86E73966094C}"/>
    <cellStyle name="Normal 80" xfId="16" xr:uid="{612E9BBF-6E60-424C-BDC3-B9DB05B4531A}"/>
    <cellStyle name="Normal_GDPCR Table IP" xfId="5" xr:uid="{172E622B-EE04-4AEB-A51C-BBD54688A492}"/>
    <cellStyle name="Normal_Spreadsheet  5 yr draft v4 12 29_06_06" xfId="10" xr:uid="{FEE56223-FE27-4A28-9DE8-29D6F9CE5377}"/>
    <cellStyle name="Percent" xfId="1" builtinId="5"/>
    <cellStyle name="Percent 10 2 2 4 14 2" xfId="9" xr:uid="{F7BFFFDD-0F44-428D-AF81-B163EFC68FA1}"/>
    <cellStyle name="Percent 18" xfId="19" xr:uid="{2A5EB9BD-A91B-4F1F-8A20-000DEAEE9952}"/>
    <cellStyle name="Percent 2 2 50" xfId="12" xr:uid="{A66A0596-5EC1-4B10-9C95-C38A9672BB4C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DPCR%20Main%20-%20docs%20for%20review/2019-20%20Actual%20Results/2019-20_WWU_CO_RRP_v7.0_Templ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2013/TG/Transmission/Transmission_Price_Controls_Lib/Regulatory_Reporting/RRP_2010/Transmission%20PCRRP%20tables_SPTL_200910%20draf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gdsswrk002.uk.corporg.net\home3_wrk$\My%20Documents\Ant\Other\Graph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hcbapp83\gas%20distribution%20shared%20folder\EXECFIN\FINPLAN\Monthly%20Reporting\0506\04%20-%20July\Report%20Schedules\Te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hcbapp83\gas%20distribution%20shared%20folder\DOCUME~1\ostergmk\LOCALS~1\Temp\10%20year%20maturity%20T%20Bonds%20v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hcbapp83\gas%20distribution%20shared%20folder\DOCUME~1\byrnespj\LOCALS~1\Temp\Beta%20Retail%20Examp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2013/sgg/ElecDistrib/Elec_Distrib_Lib/Connections/Connections_Industry_Review/CIR%202010-11/submissions/GDNs/GDNS%20submissions%20with%20calc/Copy%20of%20CIR_2010_11_NG_LON_for%20cal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 Op Cost Matrix (NEW)(1)"/>
      <sheetName val="2.1 Op Cost Matrix (NEW) (2)"/>
      <sheetName val="Index"/>
      <sheetName val="Changes Log"/>
      <sheetName val="Universal data"/>
      <sheetName val="1.4_Rec_to_Reg_Accs"/>
      <sheetName val="1.5_Net_Debt_and_Tax_Clawback"/>
      <sheetName val="1.6  Disposals"/>
      <sheetName val="2.1 Totex PCFM"/>
      <sheetName val="2.2 Totex costs summary"/>
      <sheetName val="2.3 Workload summary"/>
      <sheetName val="2.4 Safety"/>
      <sheetName val="2.5 Reliability"/>
      <sheetName val="2.6 Environmental"/>
      <sheetName val="2.7 Performance Snapshot"/>
      <sheetName val="3.1 Opex cost matrix"/>
      <sheetName val="3.2 year on year movements"/>
      <sheetName val="3.3 FCO Resource Utilisation"/>
      <sheetName val="3.4_Bus_Support_DELETED 2014_15"/>
      <sheetName val="3.6_Bus_Support_DELETED 2014_15"/>
      <sheetName val="3.7_Training_&amp;_Apprentices"/>
      <sheetName val="3.8 Maintenance"/>
      <sheetName val="3.9 LP Gasholders"/>
      <sheetName val="3.10 Land remediation REVISED"/>
      <sheetName val="3.11_Related Party Transact "/>
      <sheetName val="3.12 Shrinkage"/>
      <sheetName val="3.12a Gas Theft NEW 2014_15"/>
      <sheetName val="3.13 Streetworks"/>
      <sheetName val="3.14 Smart Metering"/>
      <sheetName val="3.15 SIUs"/>
      <sheetName val="4.1 Capex Summary "/>
      <sheetName val="4.2 Cap Expenditure Analysis"/>
      <sheetName val="4.3 LTS, storage &amp; entry"/>
      <sheetName val="4.4 Reinforcement"/>
      <sheetName val="4.5 Governor(Replacement)"/>
      <sheetName val="4.6 Connections "/>
      <sheetName val="4.7 Other Capex "/>
      <sheetName val="4.8 PSUP"/>
      <sheetName val="5.1 Repex summary"/>
      <sheetName val="5.2a Repex iron mains Tier 1"/>
      <sheetName val="5.2b Repex iron mains Tier 2A"/>
      <sheetName val="5.2c Repex other mains"/>
      <sheetName val="5.2d Repex diversions"/>
      <sheetName val="5.3 Other repex services"/>
      <sheetName val="5.4 Risers"/>
      <sheetName val="5.5 Repex expenditure analysis"/>
      <sheetName val="5.6 UNC Sub Deducts"/>
      <sheetName val="5.7 Mains Decommissiond "/>
      <sheetName val="5.8 Decommissioned Sum "/>
      <sheetName val="6.1 LTS Asset Data"/>
      <sheetName val="6.2 Network Assets"/>
      <sheetName val="6.3 Capacity&amp;Storage Asset "/>
      <sheetName val="6.4 Capacity &amp; Demand Data "/>
      <sheetName val="6.5 Capacity Output Data"/>
      <sheetName val="6.6 MEAV"/>
      <sheetName val="7.1 Safety Outputs"/>
      <sheetName val="7.2 Reliability Outputs"/>
      <sheetName val="7.3 Asset Health &amp; Criticality"/>
      <sheetName val="7.4 PREs, Reports and Repairs "/>
      <sheetName val="7.5 Accuracy pipeline records"/>
      <sheetName val="7.6 Business Carbon Footprint"/>
      <sheetName val="7.7 Environment-Other"/>
      <sheetName val="7.8 Dist Gas Connections"/>
      <sheetName val="7.9 Innovation rollout mechanis"/>
      <sheetName val="7.10 Network Innovation Allowan"/>
      <sheetName val="7.11 Network Innovation Competi"/>
      <sheetName val="8.1 Customer Complaints"/>
      <sheetName val="8.2 Customer Satisfaction Surve"/>
      <sheetName val="8.3 Guaranteed Standards "/>
      <sheetName val="8.4 Licence Condition D10"/>
      <sheetName val="8.5 3rd party &amp; water summary "/>
    </sheetNames>
    <sheetDataSet>
      <sheetData sheetId="0"/>
      <sheetData sheetId="1"/>
      <sheetData sheetId="2"/>
      <sheetData sheetId="3"/>
      <sheetData sheetId="4">
        <row r="1">
          <cell r="A1" t="str">
            <v>Regulatory Reporting Pack</v>
          </cell>
        </row>
        <row r="2">
          <cell r="A2" t="str">
            <v>Wales &amp; West Utilities PLC</v>
          </cell>
        </row>
        <row r="3">
          <cell r="A3" t="str">
            <v>2019/20</v>
          </cell>
        </row>
        <row r="30">
          <cell r="B30" t="str">
            <v>2009/10</v>
          </cell>
          <cell r="C30">
            <v>2010</v>
          </cell>
          <cell r="D30">
            <v>215.767</v>
          </cell>
          <cell r="E30">
            <v>215.76669999999999</v>
          </cell>
          <cell r="F30">
            <v>1</v>
          </cell>
        </row>
        <row r="31">
          <cell r="B31" t="str">
            <v>2010/11</v>
          </cell>
          <cell r="C31">
            <v>2011</v>
          </cell>
          <cell r="D31">
            <v>226.47499999999999</v>
          </cell>
          <cell r="E31">
            <v>226.47499999999999</v>
          </cell>
          <cell r="F31">
            <v>1.0496290669505535</v>
          </cell>
        </row>
        <row r="32">
          <cell r="B32" t="str">
            <v>2011/12</v>
          </cell>
          <cell r="C32">
            <v>2012</v>
          </cell>
          <cell r="D32">
            <v>237.34200000000001</v>
          </cell>
          <cell r="E32">
            <v>237.34166666666667</v>
          </cell>
          <cell r="F32">
            <v>1.0999921056709245</v>
          </cell>
        </row>
        <row r="33">
          <cell r="B33" t="str">
            <v>2012/13</v>
          </cell>
          <cell r="C33">
            <v>2013</v>
          </cell>
          <cell r="D33">
            <v>244.67500000000001</v>
          </cell>
          <cell r="E33">
            <v>244.67500000000001</v>
          </cell>
          <cell r="F33">
            <v>1.1339794324147332</v>
          </cell>
        </row>
        <row r="34">
          <cell r="B34" t="str">
            <v>2013/14</v>
          </cell>
          <cell r="C34">
            <v>2014</v>
          </cell>
          <cell r="D34">
            <v>251.733</v>
          </cell>
          <cell r="E34">
            <v>251.73330000000001</v>
          </cell>
          <cell r="F34">
            <v>1.1666920799178002</v>
          </cell>
        </row>
        <row r="35">
          <cell r="B35" t="str">
            <v>2014/15</v>
          </cell>
          <cell r="C35">
            <v>2015</v>
          </cell>
          <cell r="D35">
            <v>256.66699999999997</v>
          </cell>
          <cell r="E35">
            <v>256.66666666666669</v>
          </cell>
          <cell r="F35">
            <v>1.1895564360333022</v>
          </cell>
        </row>
        <row r="36">
          <cell r="B36" t="str">
            <v>2015/16</v>
          </cell>
          <cell r="C36">
            <v>2016</v>
          </cell>
          <cell r="D36">
            <v>259.43299999999999</v>
          </cell>
          <cell r="E36">
            <v>259.43333333333334</v>
          </cell>
          <cell r="F36">
            <v>1.2023789274866481</v>
          </cell>
        </row>
        <row r="37">
          <cell r="B37" t="str">
            <v>2016/17</v>
          </cell>
          <cell r="C37">
            <v>2017</v>
          </cell>
          <cell r="D37">
            <v>264.99200000000002</v>
          </cell>
          <cell r="E37">
            <v>264.99200000000002</v>
          </cell>
          <cell r="F37">
            <v>1.2281413211584551</v>
          </cell>
        </row>
        <row r="38">
          <cell r="B38" t="str">
            <v>2017/18</v>
          </cell>
          <cell r="C38">
            <v>2018</v>
          </cell>
          <cell r="D38">
            <v>274.89999999999998</v>
          </cell>
          <cell r="E38">
            <v>274.91000000000003</v>
          </cell>
          <cell r="F38">
            <v>1.274107635700968</v>
          </cell>
        </row>
        <row r="39">
          <cell r="B39" t="str">
            <v>2018/19</v>
          </cell>
          <cell r="C39">
            <v>2019</v>
          </cell>
          <cell r="D39">
            <v>283.30799999999999</v>
          </cell>
          <cell r="E39">
            <v>283.30799999999999</v>
          </cell>
          <cell r="F39">
            <v>1.3130293043365822</v>
          </cell>
        </row>
        <row r="40">
          <cell r="B40" t="str">
            <v>2019/20</v>
          </cell>
          <cell r="C40">
            <v>2020</v>
          </cell>
          <cell r="D40">
            <v>290.642</v>
          </cell>
          <cell r="E40">
            <v>290.642</v>
          </cell>
          <cell r="F40">
            <v>1.3470197208373675</v>
          </cell>
        </row>
        <row r="41">
          <cell r="B41" t="str">
            <v>2020/21</v>
          </cell>
          <cell r="C41">
            <v>2021</v>
          </cell>
          <cell r="E41" t="str">
            <v>xxx.x</v>
          </cell>
          <cell r="F41" t="str">
            <v>xxx.x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1">
          <cell r="Z21">
            <v>2.2615439200000003</v>
          </cell>
        </row>
        <row r="42">
          <cell r="H42">
            <v>22.028741940784208</v>
          </cell>
          <cell r="I42">
            <v>8.859243234232979</v>
          </cell>
          <cell r="J42">
            <v>9.7873759840477277</v>
          </cell>
          <cell r="K42">
            <v>17.48860648086108</v>
          </cell>
          <cell r="L42">
            <v>0</v>
          </cell>
          <cell r="M42">
            <v>6.4042304769576912</v>
          </cell>
          <cell r="V42">
            <v>23.485569703572558</v>
          </cell>
          <cell r="W42">
            <v>5.7919596835525056E-3</v>
          </cell>
          <cell r="Y42">
            <v>6.0506007544461173</v>
          </cell>
        </row>
        <row r="47">
          <cell r="AE47">
            <v>0.17573381411672087</v>
          </cell>
        </row>
        <row r="52">
          <cell r="AE52">
            <v>3.2115906199999995</v>
          </cell>
        </row>
        <row r="58">
          <cell r="AE58">
            <v>7.1133959999999998</v>
          </cell>
        </row>
        <row r="60">
          <cell r="AE60">
            <v>23.589467609999996</v>
          </cell>
        </row>
        <row r="72">
          <cell r="AE72">
            <v>98.233866207821578</v>
          </cell>
        </row>
      </sheetData>
      <sheetData sheetId="16"/>
      <sheetData sheetId="17"/>
      <sheetData sheetId="18"/>
      <sheetData sheetId="19"/>
      <sheetData sheetId="20"/>
      <sheetData sheetId="21"/>
      <sheetData sheetId="22">
        <row r="28">
          <cell r="D28">
            <v>-2</v>
          </cell>
          <cell r="E28">
            <v>-7</v>
          </cell>
          <cell r="F28">
            <v>-1</v>
          </cell>
          <cell r="G28">
            <v>0</v>
          </cell>
          <cell r="H28">
            <v>0</v>
          </cell>
          <cell r="I28">
            <v>0</v>
          </cell>
          <cell r="J28">
            <v>-2</v>
          </cell>
        </row>
      </sheetData>
      <sheetData sheetId="23"/>
      <sheetData sheetId="24"/>
      <sheetData sheetId="25">
        <row r="16">
          <cell r="G16">
            <v>320.26816860456154</v>
          </cell>
        </row>
        <row r="19">
          <cell r="G19">
            <v>340.0069646066305</v>
          </cell>
        </row>
      </sheetData>
      <sheetData sheetId="26"/>
      <sheetData sheetId="27">
        <row r="29">
          <cell r="Q29">
            <v>-6.9292400433921889E-3</v>
          </cell>
        </row>
        <row r="41">
          <cell r="Q41">
            <v>0.11249029990532997</v>
          </cell>
        </row>
        <row r="93">
          <cell r="Q93">
            <v>0</v>
          </cell>
        </row>
        <row r="114">
          <cell r="Q114">
            <v>0.71564477984291042</v>
          </cell>
        </row>
        <row r="179">
          <cell r="G179">
            <v>0</v>
          </cell>
        </row>
      </sheetData>
      <sheetData sheetId="28">
        <row r="17">
          <cell r="C17">
            <v>6.2581707997337602E-2</v>
          </cell>
        </row>
        <row r="18">
          <cell r="C18">
            <v>0</v>
          </cell>
        </row>
      </sheetData>
      <sheetData sheetId="29"/>
      <sheetData sheetId="30">
        <row r="8">
          <cell r="H8">
            <v>7.7584988999999993</v>
          </cell>
        </row>
        <row r="9">
          <cell r="H9">
            <v>7.3789622200000018</v>
          </cell>
        </row>
        <row r="10">
          <cell r="H10">
            <v>2.0785894512388889</v>
          </cell>
        </row>
        <row r="11">
          <cell r="H11">
            <v>14.444119081056607</v>
          </cell>
        </row>
        <row r="12">
          <cell r="H12">
            <v>19.464523290089296</v>
          </cell>
        </row>
      </sheetData>
      <sheetData sheetId="31"/>
      <sheetData sheetId="32"/>
      <sheetData sheetId="33">
        <row r="13">
          <cell r="H13">
            <v>2.0116000000000001</v>
          </cell>
        </row>
        <row r="19">
          <cell r="H19">
            <v>5.3620999999999999</v>
          </cell>
        </row>
        <row r="23">
          <cell r="H23">
            <v>5.9329999999999998</v>
          </cell>
        </row>
        <row r="29">
          <cell r="H29">
            <v>5.5794999999999995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1</v>
          </cell>
        </row>
        <row r="33">
          <cell r="H33">
            <v>0</v>
          </cell>
        </row>
      </sheetData>
      <sheetData sheetId="34">
        <row r="10">
          <cell r="I10">
            <v>0</v>
          </cell>
        </row>
        <row r="11">
          <cell r="I11">
            <v>0</v>
          </cell>
        </row>
        <row r="12">
          <cell r="I12">
            <v>6</v>
          </cell>
        </row>
        <row r="13">
          <cell r="I13">
            <v>1</v>
          </cell>
        </row>
        <row r="14">
          <cell r="I14">
            <v>15</v>
          </cell>
        </row>
      </sheetData>
      <sheetData sheetId="35">
        <row r="15">
          <cell r="H15">
            <v>4109</v>
          </cell>
        </row>
        <row r="16">
          <cell r="H16">
            <v>4461</v>
          </cell>
        </row>
        <row r="17">
          <cell r="H17">
            <v>1091</v>
          </cell>
        </row>
        <row r="18">
          <cell r="H18">
            <v>566</v>
          </cell>
        </row>
        <row r="28">
          <cell r="H28">
            <v>10227</v>
          </cell>
        </row>
      </sheetData>
      <sheetData sheetId="36">
        <row r="10">
          <cell r="E10">
            <v>9.2879889900000006</v>
          </cell>
        </row>
        <row r="14">
          <cell r="E14">
            <v>4.9626114900000005</v>
          </cell>
        </row>
      </sheetData>
      <sheetData sheetId="37">
        <row r="51">
          <cell r="P51">
            <v>-1.5440359999999997E-2</v>
          </cell>
        </row>
        <row r="64">
          <cell r="L64">
            <v>0.11501992</v>
          </cell>
        </row>
      </sheetData>
      <sheetData sheetId="38">
        <row r="9">
          <cell r="G9">
            <v>59.307839455099057</v>
          </cell>
        </row>
        <row r="10">
          <cell r="G10">
            <v>1.2423645388459659</v>
          </cell>
        </row>
        <row r="11">
          <cell r="G11">
            <v>9.2840882382045269</v>
          </cell>
        </row>
        <row r="12">
          <cell r="G12">
            <v>0.58667035398072331</v>
          </cell>
        </row>
        <row r="13">
          <cell r="G13">
            <v>7.1300832868472304</v>
          </cell>
        </row>
        <row r="14">
          <cell r="G14">
            <v>1.8717134084041456</v>
          </cell>
        </row>
        <row r="15">
          <cell r="G15">
            <v>3.2684396822089991E-2</v>
          </cell>
        </row>
      </sheetData>
      <sheetData sheetId="39">
        <row r="30">
          <cell r="K30">
            <v>11869</v>
          </cell>
        </row>
        <row r="31">
          <cell r="K31">
            <v>12466</v>
          </cell>
        </row>
        <row r="32">
          <cell r="K32">
            <v>179</v>
          </cell>
        </row>
        <row r="33">
          <cell r="K33">
            <v>179</v>
          </cell>
        </row>
      </sheetData>
      <sheetData sheetId="40">
        <row r="26">
          <cell r="K26">
            <v>96</v>
          </cell>
        </row>
        <row r="27">
          <cell r="K27">
            <v>312</v>
          </cell>
        </row>
        <row r="28">
          <cell r="K28">
            <v>1</v>
          </cell>
        </row>
        <row r="29">
          <cell r="K29">
            <v>3</v>
          </cell>
        </row>
      </sheetData>
      <sheetData sheetId="41">
        <row r="81">
          <cell r="K81">
            <v>259</v>
          </cell>
        </row>
        <row r="82">
          <cell r="K82">
            <v>600</v>
          </cell>
        </row>
        <row r="83">
          <cell r="K83">
            <v>10</v>
          </cell>
        </row>
        <row r="84">
          <cell r="K84">
            <v>32</v>
          </cell>
        </row>
      </sheetData>
      <sheetData sheetId="42">
        <row r="37">
          <cell r="I37">
            <v>12</v>
          </cell>
        </row>
        <row r="38">
          <cell r="I38">
            <v>9</v>
          </cell>
        </row>
        <row r="39">
          <cell r="I39">
            <v>2</v>
          </cell>
        </row>
        <row r="40">
          <cell r="I40">
            <v>6</v>
          </cell>
        </row>
        <row r="41">
          <cell r="I41">
            <v>5</v>
          </cell>
        </row>
        <row r="42">
          <cell r="I42">
            <v>1</v>
          </cell>
        </row>
        <row r="43">
          <cell r="I43">
            <v>0</v>
          </cell>
        </row>
        <row r="44">
          <cell r="I44">
            <v>0</v>
          </cell>
        </row>
      </sheetData>
      <sheetData sheetId="43">
        <row r="17">
          <cell r="F17">
            <v>4178</v>
          </cell>
          <cell r="J17">
            <v>89</v>
          </cell>
        </row>
      </sheetData>
      <sheetData sheetId="44"/>
      <sheetData sheetId="45"/>
      <sheetData sheetId="46">
        <row r="18">
          <cell r="H18">
            <v>3.2684396822089991E-2</v>
          </cell>
          <cell r="I18">
            <v>5.4072668757276399E-2</v>
          </cell>
        </row>
        <row r="20">
          <cell r="C20">
            <v>1.2598425196850394</v>
          </cell>
        </row>
      </sheetData>
      <sheetData sheetId="47"/>
      <sheetData sheetId="48">
        <row r="25">
          <cell r="AH25">
            <v>315.57279999999963</v>
          </cell>
        </row>
        <row r="28">
          <cell r="AH28">
            <v>47.950100000000013</v>
          </cell>
        </row>
        <row r="29">
          <cell r="AH29">
            <v>0</v>
          </cell>
        </row>
        <row r="30">
          <cell r="AH30">
            <v>59.402200000000072</v>
          </cell>
        </row>
        <row r="31">
          <cell r="AH31">
            <v>19.114999999999998</v>
          </cell>
        </row>
      </sheetData>
      <sheetData sheetId="49">
        <row r="16">
          <cell r="I16">
            <v>2359.7829999999999</v>
          </cell>
        </row>
      </sheetData>
      <sheetData sheetId="50">
        <row r="23">
          <cell r="Q23">
            <v>32785.988410000165</v>
          </cell>
        </row>
      </sheetData>
      <sheetData sheetId="51"/>
      <sheetData sheetId="52"/>
      <sheetData sheetId="53">
        <row r="10">
          <cell r="C10">
            <v>150</v>
          </cell>
        </row>
        <row r="11">
          <cell r="C11">
            <v>87</v>
          </cell>
        </row>
        <row r="12">
          <cell r="C12">
            <v>30</v>
          </cell>
        </row>
        <row r="13">
          <cell r="C13">
            <v>66</v>
          </cell>
        </row>
        <row r="14">
          <cell r="C14">
            <v>0</v>
          </cell>
        </row>
      </sheetData>
      <sheetData sheetId="54"/>
      <sheetData sheetId="55">
        <row r="9">
          <cell r="H9">
            <v>0</v>
          </cell>
        </row>
        <row r="10">
          <cell r="H10">
            <v>0</v>
          </cell>
        </row>
        <row r="11">
          <cell r="H11">
            <v>1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1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28">
          <cell r="H28">
            <v>2</v>
          </cell>
        </row>
        <row r="29">
          <cell r="H29">
            <v>21</v>
          </cell>
        </row>
        <row r="30">
          <cell r="H30">
            <v>24</v>
          </cell>
        </row>
        <row r="31">
          <cell r="H31">
            <v>4</v>
          </cell>
        </row>
        <row r="32">
          <cell r="H32">
            <v>1</v>
          </cell>
        </row>
        <row r="33">
          <cell r="H33">
            <v>3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63">
          <cell r="H63">
            <v>5</v>
          </cell>
        </row>
        <row r="64">
          <cell r="H64">
            <v>261</v>
          </cell>
        </row>
        <row r="65">
          <cell r="H65">
            <v>178</v>
          </cell>
        </row>
        <row r="66">
          <cell r="H66">
            <v>76</v>
          </cell>
        </row>
        <row r="67">
          <cell r="H67">
            <v>2</v>
          </cell>
        </row>
        <row r="68">
          <cell r="H68">
            <v>42</v>
          </cell>
        </row>
        <row r="69">
          <cell r="H69">
            <v>3</v>
          </cell>
        </row>
        <row r="70">
          <cell r="H70">
            <v>0</v>
          </cell>
        </row>
        <row r="71">
          <cell r="H71">
            <v>0</v>
          </cell>
        </row>
        <row r="100">
          <cell r="B100">
            <v>9.4486661736111106</v>
          </cell>
        </row>
      </sheetData>
      <sheetData sheetId="56">
        <row r="13">
          <cell r="B13">
            <v>2547463.5</v>
          </cell>
        </row>
        <row r="21">
          <cell r="B21">
            <v>35310</v>
          </cell>
          <cell r="C21">
            <v>6068966.4701033933</v>
          </cell>
        </row>
        <row r="40">
          <cell r="B40">
            <v>7861</v>
          </cell>
          <cell r="C40">
            <v>2793017.6799997552</v>
          </cell>
        </row>
        <row r="41">
          <cell r="C41">
            <v>8861984.1501031481</v>
          </cell>
        </row>
        <row r="47">
          <cell r="E47">
            <v>335</v>
          </cell>
        </row>
      </sheetData>
      <sheetData sheetId="57"/>
      <sheetData sheetId="58">
        <row r="8">
          <cell r="C8">
            <v>70666</v>
          </cell>
        </row>
        <row r="11">
          <cell r="C11">
            <v>24615</v>
          </cell>
        </row>
        <row r="12">
          <cell r="C12">
            <v>24553</v>
          </cell>
        </row>
        <row r="13">
          <cell r="C13">
            <v>0.99748121064391626</v>
          </cell>
        </row>
        <row r="16">
          <cell r="C16">
            <v>46051</v>
          </cell>
        </row>
        <row r="17">
          <cell r="C17">
            <v>45587</v>
          </cell>
        </row>
        <row r="18">
          <cell r="C18">
            <v>0.9899242144578837</v>
          </cell>
        </row>
        <row r="27">
          <cell r="C27">
            <v>4761</v>
          </cell>
        </row>
        <row r="28">
          <cell r="C28">
            <v>5772</v>
          </cell>
        </row>
      </sheetData>
      <sheetData sheetId="59"/>
      <sheetData sheetId="60"/>
      <sheetData sheetId="61">
        <row r="13">
          <cell r="F13">
            <v>0</v>
          </cell>
        </row>
        <row r="14">
          <cell r="F14">
            <v>0</v>
          </cell>
        </row>
      </sheetData>
      <sheetData sheetId="62"/>
      <sheetData sheetId="63"/>
      <sheetData sheetId="64"/>
      <sheetData sheetId="65"/>
      <sheetData sheetId="66">
        <row r="11">
          <cell r="AA11">
            <v>1549</v>
          </cell>
        </row>
        <row r="12">
          <cell r="AA12">
            <v>1301</v>
          </cell>
        </row>
        <row r="14">
          <cell r="AA14">
            <v>206</v>
          </cell>
        </row>
        <row r="16">
          <cell r="AA16">
            <v>2</v>
          </cell>
        </row>
        <row r="23">
          <cell r="AA23">
            <v>0</v>
          </cell>
        </row>
      </sheetData>
      <sheetData sheetId="67">
        <row r="16">
          <cell r="N16">
            <v>8.8317172349077264</v>
          </cell>
        </row>
        <row r="30">
          <cell r="N30">
            <v>9.5571923743500875</v>
          </cell>
        </row>
        <row r="46">
          <cell r="N46">
            <v>9.1336032388663959</v>
          </cell>
        </row>
      </sheetData>
      <sheetData sheetId="68">
        <row r="80">
          <cell r="J80">
            <v>4661</v>
          </cell>
        </row>
        <row r="81">
          <cell r="J81">
            <v>4655</v>
          </cell>
        </row>
        <row r="96">
          <cell r="J96">
            <v>5205</v>
          </cell>
        </row>
        <row r="97">
          <cell r="J97">
            <v>5184</v>
          </cell>
        </row>
        <row r="112">
          <cell r="J112">
            <v>87</v>
          </cell>
        </row>
        <row r="113">
          <cell r="J113">
            <v>86</v>
          </cell>
        </row>
        <row r="211">
          <cell r="J211">
            <v>5860</v>
          </cell>
        </row>
        <row r="212">
          <cell r="J212">
            <v>5587</v>
          </cell>
        </row>
      </sheetData>
      <sheetData sheetId="69"/>
      <sheetData sheetId="7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Universal data"/>
      <sheetName val="Check and Balances"/>
      <sheetName val="1.1 Published Data"/>
      <sheetName val="1.2s Ofgem Adjustments Scots"/>
      <sheetName val="1.3s Accounting C Costs Scots"/>
      <sheetName val="1.4s Performance Scots"/>
      <sheetName val="1.5s Reconciliation Scots"/>
      <sheetName val="2.1 Eng Opex Elec "/>
      <sheetName val="2.2 Non Op Capex"/>
      <sheetName val="2.4 Exc &amp; Demin "/>
      <sheetName val="2.5 Corporate Costs Scots"/>
      <sheetName val="2.6 IT Scots"/>
      <sheetName val="2.7s Insurance"/>
      <sheetName val="2.7 Captive Insure"/>
      <sheetName val="2.10 Related Party Scots"/>
      <sheetName val="2.11s Staff Scots"/>
      <sheetName val="2.14 Year on Year Movt"/>
      <sheetName val="2.16.1 Recharge Model"/>
      <sheetName val="2.16.2 Recharge Model"/>
      <sheetName val="3.1s Pensions Scots"/>
      <sheetName val="3.1.1 DB Pension cost"/>
      <sheetName val="3.1.2 DB Pension Detail"/>
      <sheetName val="3.1.3 Second DB Pension Det"/>
      <sheetName val="3.1.4 Pensions DC"/>
      <sheetName val="3.1.5 Pension PPF levy"/>
      <sheetName val="3.1.6 Pension Admin"/>
      <sheetName val="3.2 Net Debt"/>
      <sheetName val="3.3 Tax"/>
      <sheetName val="3.4s Disposals"/>
      <sheetName val="3.5 P&amp;L"/>
      <sheetName val="3.5.1 Bal Sht"/>
      <sheetName val="3.5.2 Cashflow"/>
      <sheetName val="3.6 Fin Require"/>
      <sheetName val="3.7 Tax allocations"/>
      <sheetName val="3.7.1 Tax allocations CT600"/>
      <sheetName val="4.1  System Info"/>
      <sheetName val="4.2  Activity indicators"/>
      <sheetName val="4.3_System_perf_SHETL_SPT"/>
      <sheetName val="4.4  Defects SPTL"/>
      <sheetName val="4.5  Faults"/>
      <sheetName val="4.6  Failures"/>
      <sheetName val="4.7 Condition Assessment SPTL"/>
      <sheetName val="4.8_Boundary_transf_capab"/>
      <sheetName val="4.9_Demand_&amp;_Supply_at_sub"/>
      <sheetName val="4.10 Reactive compensation"/>
      <sheetName val="4.11 Asset description SPTL"/>
      <sheetName val="4.12 Asset age 2007"/>
      <sheetName val="4.12 Asset age 2008"/>
      <sheetName val="4.12 Asset age 2009"/>
      <sheetName val="4.12 Asset age 2010"/>
      <sheetName val="4.13 Asset disposal LRE by age"/>
      <sheetName val="4.14 Asset disposal NLRE by age"/>
      <sheetName val="4.15 Asset adds &amp; disps"/>
      <sheetName val="4.16 Asset lives"/>
      <sheetName val="4.17 Unit costs"/>
      <sheetName val="4.18 Capex summary e"/>
      <sheetName val="4.19 Scheme Listing LR"/>
      <sheetName val="4.20 Scheme Listing NLR"/>
      <sheetName val="4.21 Quasi capex"/>
      <sheetName val="4.22 Other Capex costs"/>
      <sheetName val="4.23 TIRG"/>
      <sheetName val="4.24 Revenue Driver info"/>
      <sheetName val="4.25 CEI"/>
      <sheetName val="4.26 Capex Movement"/>
      <sheetName val="4.27.1 Capex Price Vol Var"/>
      <sheetName val="4.27.2 Capex Price Vol Var"/>
      <sheetName val="4.28A_Asset_health_&amp;_crit"/>
      <sheetName val="4.28B_Asset_health_&amp;_crit"/>
      <sheetName val="4.29C_Criticality_subs_SP"/>
      <sheetName val="4.30 TPCR Forecast"/>
      <sheetName val="4.31 E3 Grid"/>
      <sheetName val="3.1 P&amp;L"/>
      <sheetName val="3.2 Bal Sht"/>
      <sheetName val="3.3 Cashflow"/>
      <sheetName val="3.3.1 Fin Require"/>
      <sheetName val="3.5 Net Debt"/>
      <sheetName val="3.6 Tax"/>
      <sheetName val="3.8 DB Pension cost"/>
      <sheetName val="3.8.1 DB Pension Detail"/>
      <sheetName val="3.8.2 Second DB Pension Det"/>
      <sheetName val="3.9 Pensions DC"/>
      <sheetName val="3.10 Pension PPF levy"/>
      <sheetName val="3.11 Pension Admin"/>
      <sheetName val="4.3  System perf - SPTL"/>
      <sheetName val="4.8  Boundary Transfers"/>
      <sheetName val="4.9  Demand &amp; Supply at subs"/>
      <sheetName val="4.28 Asset Health"/>
      <sheetName val="4.29 Asset Criticality"/>
      <sheetName val="4.30 Asset Rep Priority"/>
      <sheetName val="4.31 Asset Live Det"/>
      <sheetName val="4.32 TPCR Forecast"/>
      <sheetName val="4.33 E3 Grid"/>
      <sheetName val="Lists"/>
    </sheetNames>
    <sheetDataSet>
      <sheetData sheetId="0"/>
      <sheetData sheetId="1"/>
      <sheetData sheetId="2">
        <row r="21">
          <cell r="C21" t="str">
            <v>2009/10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CKET"/>
      <sheetName val="SUN"/>
      <sheetName val="FF 02"/>
      <sheetName val="FF 03"/>
      <sheetName val="Graphs"/>
      <sheetName val="Lists"/>
      <sheetName val="FF_02"/>
      <sheetName val="FF_03"/>
      <sheetName val="dropdown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D5">
            <v>-20</v>
          </cell>
        </row>
      </sheetData>
      <sheetData sheetId="5" refreshError="1"/>
      <sheetData sheetId="6"/>
      <sheetData sheetId="7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est"/>
      <sheetName val="Incentives"/>
      <sheetName val="Income collected"/>
      <sheetName val="Opex subjective"/>
      <sheetName val="Capex Comp"/>
      <sheetName val="Capex Comparators FOC"/>
      <sheetName val="Incentive Forecast"/>
      <sheetName val="Opex Comparators-sensitivities"/>
      <sheetName val="Opex Objective YTD"/>
      <sheetName val="Opex by FOC"/>
      <sheetName val="Opex Trend &amp; MAT"/>
      <sheetName val="Manpower"/>
      <sheetName val="Incentive Graphs"/>
      <sheetName val="Opex Objective Discrete Mths"/>
      <sheetName val="risk"/>
      <sheetName val="Manpower Summary"/>
      <sheetName val="Opex Subj by Mth"/>
      <sheetName val="Opex Objective Mth"/>
      <sheetName val="#REF"/>
      <sheetName val="By Account Code"/>
      <sheetName val="By Business Unit"/>
      <sheetName val="SummCapex"/>
      <sheetName val="ETO Capx"/>
      <sheetName val="ESO Capx"/>
      <sheetName val="GAS SO Capx"/>
      <sheetName val="GAS TO Capx "/>
      <sheetName val="Range Names"/>
      <sheetName val="Income_collected"/>
      <sheetName val="Opex_subjective"/>
      <sheetName val="Capex_Comp"/>
      <sheetName val="Capex_Comparators_FOC"/>
      <sheetName val="Incentive_Forecast"/>
      <sheetName val="Opex_Comparators-sensitivities"/>
      <sheetName val="Opex_Objective_YTD"/>
      <sheetName val="Opex_by_FOC"/>
      <sheetName val="Opex_Trend_&amp;_MAT"/>
      <sheetName val="Incentive_Graphs"/>
      <sheetName val="Opex_Objective_Discrete_Mths"/>
      <sheetName val="Manpower_Summary"/>
      <sheetName val="Opex_Subj_by_Mth"/>
      <sheetName val="Opex_Objective_Mth"/>
      <sheetName val="By_Account_Code"/>
      <sheetName val="By_Business_Unit"/>
      <sheetName val="ETO_Capx"/>
      <sheetName val="ESO_Capx"/>
      <sheetName val="GAS_SO_Capx"/>
      <sheetName val="GAS_TO_Capx_"/>
      <sheetName val="Range_Names"/>
      <sheetName val="ADM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GcaSummary"/>
      <sheetName val="MarginSummary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Year ROIC Trees"/>
      <sheetName val="5 Year ROIC Trees"/>
      <sheetName val="Beta"/>
      <sheetName val="Cost of Debt (Industrial)"/>
      <sheetName val="Spread"/>
      <sheetName val="IBES Estimates"/>
      <sheetName val="Sheet4"/>
      <sheetName val="Risk-Free Rate"/>
      <sheetName val="Sheet3"/>
      <sheetName val="Operating Leases"/>
      <sheetName val="Sheet1"/>
      <sheetName val="Sheet2"/>
      <sheetName val="Spread|Growth"/>
      <sheetName val="Summary"/>
      <sheetName val="ABS"/>
      <sheetName val="ABS (Adjusted)"/>
      <sheetName val="ABS (2)"/>
      <sheetName val="AHMY"/>
      <sheetName val="AHMY (Adjusted)"/>
      <sheetName val="AHMY (2)"/>
      <sheetName val="BJ"/>
      <sheetName val="BJ (Adjusted)"/>
      <sheetName val="BJ (2)"/>
      <sheetName val="CAUFM"/>
      <sheetName val="CAUFM (Adjusted) "/>
      <sheetName val="CAUFM (2)"/>
      <sheetName val="COST"/>
      <sheetName val="COST (Adjusted)"/>
      <sheetName val="COST (2)"/>
      <sheetName val="DEFI"/>
      <sheetName val="DEFI (Adjusted) "/>
      <sheetName val="DEFI (2)"/>
      <sheetName val="GAP"/>
      <sheetName val="GAP (Adjusted) "/>
      <sheetName val="GAP (2)"/>
      <sheetName val="KM"/>
      <sheetName val="KM (Adjusted)"/>
      <sheetName val="KM (2)"/>
      <sheetName val="KR"/>
      <sheetName val="KR (Adjusted)"/>
      <sheetName val="KR (2)"/>
      <sheetName val="IMKTA"/>
      <sheetName val="IMKTA (Adjusted) "/>
      <sheetName val="IMKTA (2)"/>
      <sheetName val="METOL"/>
      <sheetName val="METOL (Adjusted)"/>
      <sheetName val="METOL (2)"/>
      <sheetName val="PUSH"/>
      <sheetName val="PUSH (Adjusted)"/>
      <sheetName val="PUSH (2)"/>
      <sheetName val="RDK"/>
      <sheetName val="RDK (Adjusted)"/>
      <sheetName val="RDK (2)"/>
      <sheetName val="SAGFO"/>
      <sheetName val="SAGFO (Adjusted) "/>
      <sheetName val="SAGFO (2)"/>
      <sheetName val="SVU"/>
      <sheetName val="SVU (Adjusted)"/>
      <sheetName val="SVU (2)"/>
      <sheetName val="SWY"/>
      <sheetName val="SWY (Adjusted)"/>
      <sheetName val="SWY (2)"/>
      <sheetName val="TEPH"/>
      <sheetName val="TEPH (Adjusted) "/>
      <sheetName val="TEPH (2)"/>
      <sheetName val="WIN"/>
      <sheetName val="WIN (Adjusted)"/>
      <sheetName val="WIN (2)"/>
      <sheetName val="WMK"/>
      <sheetName val="WMK (Adjusted)"/>
      <sheetName val="WMK (2)"/>
      <sheetName val="WMT"/>
      <sheetName val="WMT (Adjusted)"/>
      <sheetName val="WMT (2)"/>
      <sheetName val="3_Year_ROIC_Trees"/>
      <sheetName val="5_Year_ROIC_Trees"/>
      <sheetName val="Cost_of_Debt_(Industrial)"/>
      <sheetName val="IBES_Estimates"/>
      <sheetName val="Risk-Free_Rate"/>
      <sheetName val="Operating_Leases"/>
      <sheetName val="ABS_(Adjusted)"/>
      <sheetName val="ABS_(2)"/>
      <sheetName val="AHMY_(Adjusted)"/>
      <sheetName val="AHMY_(2)"/>
      <sheetName val="BJ_(Adjusted)"/>
      <sheetName val="BJ_(2)"/>
      <sheetName val="CAUFM_(Adjusted)_"/>
      <sheetName val="CAUFM_(2)"/>
      <sheetName val="COST_(Adjusted)"/>
      <sheetName val="COST_(2)"/>
      <sheetName val="DEFI_(Adjusted)_"/>
      <sheetName val="DEFI_(2)"/>
      <sheetName val="GAP_(Adjusted)_"/>
      <sheetName val="GAP_(2)"/>
      <sheetName val="KM_(Adjusted)"/>
      <sheetName val="KM_(2)"/>
      <sheetName val="KR_(Adjusted)"/>
      <sheetName val="KR_(2)"/>
      <sheetName val="IMKTA_(Adjusted)_"/>
      <sheetName val="IMKTA_(2)"/>
      <sheetName val="METOL_(Adjusted)"/>
      <sheetName val="METOL_(2)"/>
      <sheetName val="PUSH_(Adjusted)"/>
      <sheetName val="PUSH_(2)"/>
      <sheetName val="RDK_(Adjusted)"/>
      <sheetName val="RDK_(2)"/>
      <sheetName val="SAGFO_(Adjusted)_"/>
      <sheetName val="SAGFO_(2)"/>
      <sheetName val="SVU_(Adjusted)"/>
      <sheetName val="SVU_(2)"/>
      <sheetName val="SWY_(Adjusted)"/>
      <sheetName val="SWY_(2)"/>
      <sheetName val="TEPH_(Adjusted)_"/>
      <sheetName val="TEPH_(2)"/>
      <sheetName val="WIN_(Adjusted)"/>
      <sheetName val="WIN_(2)"/>
      <sheetName val="WMK_(Adjusted)"/>
      <sheetName val="WMK_(2)"/>
      <sheetName val="WMT_(Adjusted)"/>
      <sheetName val="WMT_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5">
          <cell r="A15" t="e">
            <v>#NAME?</v>
          </cell>
          <cell r="D15" t="e">
            <v>#NAME?</v>
          </cell>
          <cell r="G15" t="e">
            <v>#NAME?</v>
          </cell>
          <cell r="J15" t="e">
            <v>#NAME?</v>
          </cell>
          <cell r="M15" t="e">
            <v>#NAME?</v>
          </cell>
          <cell r="P15" t="e">
            <v>#NAME?</v>
          </cell>
          <cell r="S15" t="e">
            <v>#NAME?</v>
          </cell>
          <cell r="V15" t="e">
            <v>#NAME?</v>
          </cell>
          <cell r="Y15" t="e">
            <v>#NAME?</v>
          </cell>
          <cell r="AB15" t="e">
            <v>#NAME?</v>
          </cell>
          <cell r="AE15" t="e">
            <v>#NAME?</v>
          </cell>
          <cell r="AH15" t="e">
            <v>#NAME?</v>
          </cell>
          <cell r="AK15" t="e">
            <v>#NAME?</v>
          </cell>
          <cell r="AN15" t="e">
            <v>#NAME?</v>
          </cell>
          <cell r="AQ15" t="e">
            <v>#NAME?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>
        <row r="15">
          <cell r="A15">
            <v>0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New Metered Connections"/>
      <sheetName val="DNO Names"/>
      <sheetName val="2. Out of area networks"/>
      <sheetName val="3. Enquiries Handled"/>
      <sheetName val="4. Connection Charges"/>
    </sheetNames>
    <sheetDataSet>
      <sheetData sheetId="0"/>
      <sheetData sheetId="1"/>
      <sheetData sheetId="2">
        <row r="188">
          <cell r="L188" t="str">
            <v>Northern Gas Networks Ltd</v>
          </cell>
        </row>
        <row r="189">
          <cell r="L189" t="str">
            <v>National Grid Gas plc North West</v>
          </cell>
        </row>
        <row r="190">
          <cell r="L190" t="str">
            <v>National Grid Gas plc West Midlands</v>
          </cell>
        </row>
        <row r="191">
          <cell r="L191" t="str">
            <v>National Grid Gas plc East of England</v>
          </cell>
        </row>
        <row r="192">
          <cell r="L192" t="str">
            <v>National Grid Gas plc London</v>
          </cell>
        </row>
        <row r="193">
          <cell r="L193" t="str">
            <v>Scotland Gas Networks plc</v>
          </cell>
        </row>
        <row r="194">
          <cell r="L194" t="str">
            <v>Southern Gas Networks plc</v>
          </cell>
        </row>
        <row r="195">
          <cell r="L195" t="str">
            <v>Wales and West Utilities Ltd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2CE7F-1C13-4F77-99F7-17BA3D12488D}">
  <sheetPr codeName="Sheet26">
    <tabColor theme="0" tint="-0.14999847407452621"/>
    <pageSetUpPr fitToPage="1"/>
  </sheetPr>
  <dimension ref="A1:AF238"/>
  <sheetViews>
    <sheetView tabSelected="1" zoomScale="70" zoomScaleNormal="70" workbookViewId="0">
      <selection activeCell="C235" sqref="C235"/>
    </sheetView>
  </sheetViews>
  <sheetFormatPr defaultColWidth="9.265625" defaultRowHeight="12.4"/>
  <cols>
    <col min="1" max="1" width="43.3984375" style="5" customWidth="1"/>
    <col min="2" max="2" width="15" style="7" customWidth="1"/>
    <col min="3" max="3" width="15" style="5" customWidth="1"/>
    <col min="4" max="4" width="15" style="6" customWidth="1"/>
    <col min="5" max="10" width="15" style="5" customWidth="1"/>
    <col min="11" max="11" width="19.73046875" style="5" bestFit="1" customWidth="1"/>
    <col min="12" max="12" width="44.265625" style="5" customWidth="1"/>
    <col min="13" max="20" width="9.73046875" style="5" bestFit="1" customWidth="1"/>
    <col min="21" max="21" width="12.265625" style="5" bestFit="1" customWidth="1"/>
    <col min="22" max="22" width="9.265625" style="5"/>
    <col min="23" max="23" width="44" style="5" customWidth="1"/>
    <col min="24" max="24" width="11.59765625" style="5" bestFit="1" customWidth="1"/>
    <col min="25" max="25" width="11.73046875" style="5" bestFit="1" customWidth="1"/>
    <col min="26" max="28" width="11.59765625" style="5" bestFit="1" customWidth="1"/>
    <col min="29" max="30" width="11.73046875" style="5" bestFit="1" customWidth="1"/>
    <col min="31" max="31" width="11.59765625" style="5" bestFit="1" customWidth="1"/>
    <col min="32" max="32" width="13.265625" style="5" customWidth="1"/>
    <col min="33" max="16384" width="9.265625" style="5"/>
  </cols>
  <sheetData>
    <row r="1" spans="1:32" s="3" customFormat="1" ht="25.15">
      <c r="A1" s="1" t="str">
        <f>+'[1]Universal data'!$A$1</f>
        <v>Regulatory Reporting Pack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s="3" customFormat="1" ht="25.15">
      <c r="A2" s="1" t="str">
        <f>+'[1]Universal data'!$A$2</f>
        <v>Wales &amp; West Utilities PLC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s="3" customFormat="1" ht="25.15">
      <c r="A3" s="1" t="str">
        <f>+'[1]Universal data'!$A$3</f>
        <v>2019/20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5" spans="1:32" ht="19.899999999999999">
      <c r="A5" s="4" t="s">
        <v>0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s="4" customFormat="1" ht="19.899999999999999"/>
    <row r="7" spans="1:32">
      <c r="A7" s="6" t="s">
        <v>1</v>
      </c>
    </row>
    <row r="8" spans="1:32">
      <c r="A8" s="7" t="str">
        <f>$A$3&amp;" prices"</f>
        <v>2019/20 prices</v>
      </c>
    </row>
    <row r="9" spans="1:32" ht="12.75" customHeight="1">
      <c r="A9" s="8"/>
      <c r="B9" s="9" t="s">
        <v>2</v>
      </c>
      <c r="C9" s="10"/>
      <c r="D9" s="10"/>
      <c r="E9" s="10"/>
      <c r="F9" s="10"/>
      <c r="G9" s="11"/>
      <c r="H9" s="12" t="s">
        <v>3</v>
      </c>
      <c r="I9" s="13" t="s">
        <v>4</v>
      </c>
      <c r="J9" s="11" t="s">
        <v>5</v>
      </c>
    </row>
    <row r="10" spans="1:32">
      <c r="A10" s="14"/>
      <c r="B10" s="15"/>
      <c r="C10" s="16"/>
      <c r="D10" s="16"/>
      <c r="E10" s="16"/>
      <c r="F10" s="16"/>
      <c r="G10" s="17"/>
      <c r="H10" s="18"/>
      <c r="I10" s="19"/>
      <c r="J10" s="20"/>
    </row>
    <row r="11" spans="1:32">
      <c r="A11" s="21" t="s">
        <v>6</v>
      </c>
      <c r="B11" s="22">
        <v>2014</v>
      </c>
      <c r="C11" s="23">
        <v>2015</v>
      </c>
      <c r="D11" s="23">
        <v>2016</v>
      </c>
      <c r="E11" s="23">
        <v>2017</v>
      </c>
      <c r="F11" s="23">
        <v>2018</v>
      </c>
      <c r="G11" s="23">
        <v>2019</v>
      </c>
      <c r="H11" s="23">
        <v>2020</v>
      </c>
      <c r="I11" s="23">
        <v>2021</v>
      </c>
      <c r="J11" s="17"/>
    </row>
    <row r="12" spans="1:32">
      <c r="A12" s="24" t="s">
        <v>7</v>
      </c>
      <c r="B12" s="25">
        <f t="shared" ref="B12:G27" si="0">+B62</f>
        <v>9.7974696955343408</v>
      </c>
      <c r="C12" s="25">
        <f t="shared" si="0"/>
        <v>7.2031166217430123</v>
      </c>
      <c r="D12" s="25">
        <f t="shared" si="0"/>
        <v>12.577972881110663</v>
      </c>
      <c r="E12" s="25">
        <f t="shared" si="0"/>
        <v>10.124222920123939</v>
      </c>
      <c r="F12" s="25">
        <f>+F62</f>
        <v>7.9354119281686701</v>
      </c>
      <c r="G12" s="25">
        <f>+G62</f>
        <v>9.8752375200617344</v>
      </c>
      <c r="H12" s="25">
        <f>+'[1]4.1 Capex Summary '!$H$8</f>
        <v>7.7584988999999993</v>
      </c>
      <c r="I12" s="26">
        <v>8.9649170632687234</v>
      </c>
      <c r="J12" s="27">
        <f>SUM(B12:I12)</f>
        <v>74.23684753001109</v>
      </c>
    </row>
    <row r="13" spans="1:32">
      <c r="A13" s="24" t="s">
        <v>8</v>
      </c>
      <c r="B13" s="28">
        <f t="shared" si="0"/>
        <v>11.873776208957716</v>
      </c>
      <c r="C13" s="28">
        <f t="shared" si="0"/>
        <v>10.777431990102688</v>
      </c>
      <c r="D13" s="28">
        <f t="shared" si="0"/>
        <v>13.302543123466343</v>
      </c>
      <c r="E13" s="28">
        <f t="shared" si="0"/>
        <v>12.164872513233354</v>
      </c>
      <c r="F13" s="28">
        <f t="shared" si="0"/>
        <v>13.340167463510889</v>
      </c>
      <c r="G13" s="28">
        <f t="shared" si="0"/>
        <v>12.88340214984391</v>
      </c>
      <c r="H13" s="28">
        <f>+'[1]4.1 Capex Summary '!$H$11</f>
        <v>14.444119081056607</v>
      </c>
      <c r="I13" s="29">
        <v>13.590219348009944</v>
      </c>
      <c r="J13" s="30">
        <f t="shared" ref="J13:J18" si="1">SUM(B13:I13)</f>
        <v>102.37653187818145</v>
      </c>
    </row>
    <row r="14" spans="1:32">
      <c r="A14" s="24" t="s">
        <v>9</v>
      </c>
      <c r="B14" s="28">
        <f t="shared" si="0"/>
        <v>4.3705129014974196</v>
      </c>
      <c r="C14" s="28">
        <f t="shared" si="0"/>
        <v>3.96600760147874</v>
      </c>
      <c r="D14" s="28">
        <f t="shared" si="0"/>
        <v>3.8268709898163595</v>
      </c>
      <c r="E14" s="28">
        <f t="shared" si="0"/>
        <v>3.8749280317932384</v>
      </c>
      <c r="F14" s="28">
        <f t="shared" si="0"/>
        <v>4.8206846137007133</v>
      </c>
      <c r="G14" s="28">
        <f t="shared" si="0"/>
        <v>5.77098069838061</v>
      </c>
      <c r="H14" s="28">
        <f>+'[1]4.1 Capex Summary '!$H$9</f>
        <v>7.3789622200000018</v>
      </c>
      <c r="I14" s="29">
        <v>7.4806763669961729</v>
      </c>
      <c r="J14" s="30">
        <f t="shared" si="1"/>
        <v>41.489623423663254</v>
      </c>
    </row>
    <row r="15" spans="1:32">
      <c r="A15" s="24" t="s">
        <v>10</v>
      </c>
      <c r="B15" s="28">
        <f t="shared" si="0"/>
        <v>2.6188731505480844</v>
      </c>
      <c r="C15" s="28">
        <f t="shared" si="0"/>
        <v>2.4081469597447738</v>
      </c>
      <c r="D15" s="28">
        <f t="shared" si="0"/>
        <v>2.719436785201236</v>
      </c>
      <c r="E15" s="28">
        <f t="shared" si="0"/>
        <v>1.7722073847996653</v>
      </c>
      <c r="F15" s="28">
        <f t="shared" si="0"/>
        <v>1.0404710430006661</v>
      </c>
      <c r="G15" s="28">
        <f t="shared" si="0"/>
        <v>1.2850234414446677</v>
      </c>
      <c r="H15" s="28">
        <f>+'[1]4.1 Capex Summary '!$H$10</f>
        <v>2.0785894512388889</v>
      </c>
      <c r="I15" s="29">
        <v>2.5592793370167373</v>
      </c>
      <c r="J15" s="30">
        <f t="shared" si="1"/>
        <v>16.482027552994719</v>
      </c>
    </row>
    <row r="16" spans="1:32">
      <c r="A16" s="24" t="s">
        <v>11</v>
      </c>
      <c r="B16" s="28">
        <f t="shared" si="0"/>
        <v>30.24911175738962</v>
      </c>
      <c r="C16" s="28">
        <f t="shared" si="0"/>
        <v>24.691324298854546</v>
      </c>
      <c r="D16" s="28">
        <f t="shared" si="0"/>
        <v>22.266524555666681</v>
      </c>
      <c r="E16" s="28">
        <f t="shared" si="0"/>
        <v>24.931192402998857</v>
      </c>
      <c r="F16" s="28">
        <f t="shared" si="0"/>
        <v>25.217160925637007</v>
      </c>
      <c r="G16" s="28">
        <f t="shared" si="0"/>
        <v>26.69118460754537</v>
      </c>
      <c r="H16" s="28">
        <f>+'[1]4.1 Capex Summary '!$H$12</f>
        <v>19.464523290089296</v>
      </c>
      <c r="I16" s="29">
        <v>26.467734546854334</v>
      </c>
      <c r="J16" s="30">
        <f t="shared" si="1"/>
        <v>199.97875638503569</v>
      </c>
    </row>
    <row r="17" spans="1:12">
      <c r="A17" s="31" t="s">
        <v>12</v>
      </c>
      <c r="B17" s="32">
        <f t="shared" si="0"/>
        <v>6.3131862335720079</v>
      </c>
      <c r="C17" s="32">
        <f t="shared" si="0"/>
        <v>8.5661502642721512</v>
      </c>
      <c r="D17" s="32">
        <f t="shared" si="0"/>
        <v>8.3902558184476295</v>
      </c>
      <c r="E17" s="32">
        <f t="shared" si="0"/>
        <v>5.5988951807173937</v>
      </c>
      <c r="F17" s="32">
        <f t="shared" si="0"/>
        <v>8.3856302815753487</v>
      </c>
      <c r="G17" s="32">
        <f t="shared" si="0"/>
        <v>9.4377568901580204</v>
      </c>
      <c r="H17" s="32">
        <f>+'[1]4.7 Other Capex '!$E$10</f>
        <v>9.2879889900000006</v>
      </c>
      <c r="I17" s="29">
        <v>12.27685446210069</v>
      </c>
      <c r="J17" s="33">
        <f t="shared" si="1"/>
        <v>68.256718120843246</v>
      </c>
    </row>
    <row r="18" spans="1:12">
      <c r="A18" s="31" t="s">
        <v>13</v>
      </c>
      <c r="B18" s="32">
        <f t="shared" si="0"/>
        <v>6.0422682911890151</v>
      </c>
      <c r="C18" s="32">
        <f t="shared" si="0"/>
        <v>5.9803400133538434</v>
      </c>
      <c r="D18" s="32">
        <f t="shared" si="0"/>
        <v>5.4016918424757137</v>
      </c>
      <c r="E18" s="32">
        <f t="shared" si="0"/>
        <v>4.4879845853884328</v>
      </c>
      <c r="F18" s="32">
        <f t="shared" si="0"/>
        <v>2.362169453302462</v>
      </c>
      <c r="G18" s="32">
        <f t="shared" si="0"/>
        <v>7.563791589406466</v>
      </c>
      <c r="H18" s="32">
        <f>+'[1]4.7 Other Capex '!$E$14</f>
        <v>4.9626114900000005</v>
      </c>
      <c r="I18" s="34">
        <v>8.4733347418638854</v>
      </c>
      <c r="J18" s="33">
        <f t="shared" si="1"/>
        <v>45.274192006979824</v>
      </c>
    </row>
    <row r="19" spans="1:12">
      <c r="A19" s="35" t="s">
        <v>14</v>
      </c>
      <c r="B19" s="36">
        <f>SUM(B12:B16)</f>
        <v>58.909743713927185</v>
      </c>
      <c r="C19" s="36">
        <f>SUM(C12:C16)</f>
        <v>49.046027471923757</v>
      </c>
      <c r="D19" s="36">
        <f>SUM(D12:D16)</f>
        <v>54.693348335261277</v>
      </c>
      <c r="E19" s="36">
        <f t="shared" ref="E19:F19" si="2">SUM(E12:E16)</f>
        <v>52.867423252949052</v>
      </c>
      <c r="F19" s="36">
        <f t="shared" si="2"/>
        <v>52.353895974017945</v>
      </c>
      <c r="G19" s="36">
        <f>SUM(G12:G16)</f>
        <v>56.505828417276291</v>
      </c>
      <c r="H19" s="36">
        <f t="shared" ref="H19" si="3">SUM(H12:H16)</f>
        <v>51.12469294238479</v>
      </c>
      <c r="I19" s="37">
        <f>SUM(I12:I16)</f>
        <v>59.062826662145909</v>
      </c>
      <c r="J19" s="36">
        <f>SUM(B19:I19)</f>
        <v>434.56378676988618</v>
      </c>
    </row>
    <row r="20" spans="1:12">
      <c r="A20" s="24" t="s">
        <v>15</v>
      </c>
      <c r="B20" s="28">
        <f t="shared" si="0"/>
        <v>74.457897080844333</v>
      </c>
      <c r="C20" s="28">
        <f t="shared" si="0"/>
        <v>66.975600698455921</v>
      </c>
      <c r="D20" s="28">
        <f t="shared" si="0"/>
        <v>63.742720210966468</v>
      </c>
      <c r="E20" s="28">
        <f t="shared" si="0"/>
        <v>64.30761576595124</v>
      </c>
      <c r="F20" s="28">
        <f t="shared" si="0"/>
        <v>55.352881447172955</v>
      </c>
      <c r="G20" s="28">
        <f t="shared" si="0"/>
        <v>62.218680131980086</v>
      </c>
      <c r="H20" s="25">
        <f>+'[1]5.1 Repex summary'!$G$9+'[1]5.1 Repex summary'!$G$10</f>
        <v>60.550203993945026</v>
      </c>
      <c r="I20" s="26">
        <v>69.953331141993758</v>
      </c>
      <c r="J20" s="38">
        <f>SUM(B20:I20)</f>
        <v>517.55893047130974</v>
      </c>
    </row>
    <row r="21" spans="1:12">
      <c r="A21" s="24" t="s">
        <v>16</v>
      </c>
      <c r="B21" s="28">
        <f t="shared" si="0"/>
        <v>6.9609215314251163</v>
      </c>
      <c r="C21" s="28">
        <f t="shared" si="0"/>
        <v>17.829749641070684</v>
      </c>
      <c r="D21" s="28">
        <f t="shared" si="0"/>
        <v>20.149457368618517</v>
      </c>
      <c r="E21" s="28">
        <f t="shared" si="0"/>
        <v>18.213933331305544</v>
      </c>
      <c r="F21" s="28">
        <f t="shared" si="0"/>
        <v>14.477828141909681</v>
      </c>
      <c r="G21" s="28">
        <f t="shared" si="0"/>
        <v>15.873084177225584</v>
      </c>
      <c r="H21" s="28">
        <f>+'[1]5.1 Repex summary'!$G$13+'[1]5.1 Repex summary'!$G$11+'[1]5.1 Repex summary'!$G$12+'[1]5.1 Repex summary'!$G$15</f>
        <v>17.03352627585457</v>
      </c>
      <c r="I21" s="29">
        <v>8.203692140426547</v>
      </c>
      <c r="J21" s="39">
        <f>SUM(B21:I21)</f>
        <v>118.74219260783624</v>
      </c>
    </row>
    <row r="22" spans="1:12">
      <c r="A22" s="24" t="s">
        <v>17</v>
      </c>
      <c r="B22" s="28">
        <f t="shared" si="0"/>
        <v>1.7469063757041896</v>
      </c>
      <c r="C22" s="28">
        <f t="shared" si="0"/>
        <v>2.8193558672914545</v>
      </c>
      <c r="D22" s="28">
        <f t="shared" si="0"/>
        <v>2.3768240918003638</v>
      </c>
      <c r="E22" s="28">
        <f t="shared" si="0"/>
        <v>2.0603842203338316</v>
      </c>
      <c r="F22" s="28">
        <f t="shared" si="0"/>
        <v>1.5374842386796366</v>
      </c>
      <c r="G22" s="28">
        <f t="shared" si="0"/>
        <v>1.8241832816244017</v>
      </c>
      <c r="H22" s="40">
        <f>+'[1]5.1 Repex summary'!$G$14</f>
        <v>1.8717134084041456</v>
      </c>
      <c r="I22" s="34">
        <v>1.1214019417475729</v>
      </c>
      <c r="J22" s="41">
        <f>SUM(B22:I22)</f>
        <v>15.358253425585596</v>
      </c>
    </row>
    <row r="23" spans="1:12" ht="14.65">
      <c r="A23" s="35" t="s">
        <v>18</v>
      </c>
      <c r="B23" s="36">
        <f t="shared" ref="B23:I23" si="4">SUM(B20:B22)</f>
        <v>83.165724987973633</v>
      </c>
      <c r="C23" s="36">
        <f t="shared" si="4"/>
        <v>87.624706206818047</v>
      </c>
      <c r="D23" s="36">
        <f t="shared" si="4"/>
        <v>86.26900167138534</v>
      </c>
      <c r="E23" s="36">
        <f t="shared" si="4"/>
        <v>84.581933317590611</v>
      </c>
      <c r="F23" s="36">
        <f t="shared" si="4"/>
        <v>71.368193827762269</v>
      </c>
      <c r="G23" s="36">
        <f t="shared" si="4"/>
        <v>79.915947590830072</v>
      </c>
      <c r="H23" s="36">
        <f>SUM(H20:H22)</f>
        <v>79.455443678203736</v>
      </c>
      <c r="I23" s="42">
        <f t="shared" si="4"/>
        <v>79.27842522416789</v>
      </c>
      <c r="J23" s="36">
        <f>SUM(B23:I23)</f>
        <v>651.65937650473154</v>
      </c>
      <c r="L23" s="43"/>
    </row>
    <row r="24" spans="1:12">
      <c r="A24" s="44" t="s">
        <v>19</v>
      </c>
      <c r="B24" s="28">
        <f t="shared" si="0"/>
        <v>26.209332322393657</v>
      </c>
      <c r="C24" s="28">
        <f t="shared" si="0"/>
        <v>22.938159138221966</v>
      </c>
      <c r="D24" s="28">
        <f t="shared" si="0"/>
        <v>23.089063190052066</v>
      </c>
      <c r="E24" s="28">
        <f t="shared" si="0"/>
        <v>21.811177386712416</v>
      </c>
      <c r="F24" s="28">
        <f t="shared" si="0"/>
        <v>20.846755521426811</v>
      </c>
      <c r="G24" s="28">
        <f t="shared" si="0"/>
        <v>19.389291812075953</v>
      </c>
      <c r="H24" s="37">
        <f>'[1]3.1 Opex cost matrix'!$H$42</f>
        <v>22.028741940784208</v>
      </c>
      <c r="I24" s="29">
        <v>23.948584384335124</v>
      </c>
      <c r="J24" s="45">
        <f t="shared" ref="J24:J37" si="5">SUM(B24:I24)</f>
        <v>180.26110569600223</v>
      </c>
    </row>
    <row r="25" spans="1:12">
      <c r="A25" s="44" t="s">
        <v>20</v>
      </c>
      <c r="B25" s="28">
        <f t="shared" si="0"/>
        <v>11.328369561292883</v>
      </c>
      <c r="C25" s="28">
        <f t="shared" si="0"/>
        <v>11.675846238543599</v>
      </c>
      <c r="D25" s="28">
        <f t="shared" si="0"/>
        <v>10.002202882059834</v>
      </c>
      <c r="E25" s="28">
        <f t="shared" si="0"/>
        <v>10.616056794524701</v>
      </c>
      <c r="F25" s="28">
        <f t="shared" si="0"/>
        <v>10.486042455044686</v>
      </c>
      <c r="G25" s="28">
        <f t="shared" si="0"/>
        <v>9.3699988413102933</v>
      </c>
      <c r="H25" s="28">
        <f>'[1]3.1 Opex cost matrix'!$I$42</f>
        <v>8.859243234232979</v>
      </c>
      <c r="I25" s="29">
        <v>8.2221266655932741</v>
      </c>
      <c r="J25" s="45">
        <f t="shared" si="5"/>
        <v>80.559886672602246</v>
      </c>
    </row>
    <row r="26" spans="1:12">
      <c r="A26" s="44" t="s">
        <v>21</v>
      </c>
      <c r="B26" s="28">
        <f t="shared" si="0"/>
        <v>11.104760029085051</v>
      </c>
      <c r="C26" s="28">
        <f t="shared" si="0"/>
        <v>11.184708966980422</v>
      </c>
      <c r="D26" s="28">
        <f t="shared" si="0"/>
        <v>9.4849883047308943</v>
      </c>
      <c r="E26" s="28">
        <f t="shared" si="0"/>
        <v>10.810955515255813</v>
      </c>
      <c r="F26" s="28">
        <f t="shared" si="0"/>
        <v>8.3192633359272783</v>
      </c>
      <c r="G26" s="28">
        <f t="shared" si="0"/>
        <v>8.8948672046644415</v>
      </c>
      <c r="H26" s="28">
        <f>'[1]3.1 Opex cost matrix'!$J$42</f>
        <v>9.7873759840477277</v>
      </c>
      <c r="I26" s="29">
        <v>7.7458710039371503</v>
      </c>
      <c r="J26" s="45">
        <f t="shared" si="5"/>
        <v>77.332790344628776</v>
      </c>
    </row>
    <row r="27" spans="1:12">
      <c r="A27" s="44" t="s">
        <v>22</v>
      </c>
      <c r="B27" s="28">
        <f t="shared" si="0"/>
        <v>16.347336617915314</v>
      </c>
      <c r="C27" s="28">
        <f t="shared" si="0"/>
        <v>20.15311856594996</v>
      </c>
      <c r="D27" s="28">
        <f t="shared" si="0"/>
        <v>19.072746648950226</v>
      </c>
      <c r="E27" s="28">
        <f t="shared" si="0"/>
        <v>19.426706039991952</v>
      </c>
      <c r="F27" s="28">
        <f t="shared" si="0"/>
        <v>16.287948909929646</v>
      </c>
      <c r="G27" s="28">
        <f t="shared" si="0"/>
        <v>17.993227621460402</v>
      </c>
      <c r="H27" s="28">
        <f>'[1]3.1 Opex cost matrix'!$K$42</f>
        <v>17.48860648086108</v>
      </c>
      <c r="I27" s="29">
        <v>15.79008778827121</v>
      </c>
      <c r="J27" s="45">
        <f t="shared" si="5"/>
        <v>142.55977867332979</v>
      </c>
    </row>
    <row r="28" spans="1:12">
      <c r="A28" s="44" t="s">
        <v>23</v>
      </c>
      <c r="B28" s="28">
        <f t="shared" ref="B28:G36" si="6">+B78</f>
        <v>0</v>
      </c>
      <c r="C28" s="28">
        <f t="shared" si="6"/>
        <v>0</v>
      </c>
      <c r="D28" s="28">
        <f t="shared" si="6"/>
        <v>0</v>
      </c>
      <c r="E28" s="28">
        <f t="shared" si="6"/>
        <v>0</v>
      </c>
      <c r="F28" s="28">
        <f t="shared" si="6"/>
        <v>0</v>
      </c>
      <c r="G28" s="28">
        <f t="shared" si="6"/>
        <v>0</v>
      </c>
      <c r="H28" s="28">
        <f>'[1]3.1 Opex cost matrix'!$L$42</f>
        <v>0</v>
      </c>
      <c r="I28" s="29">
        <v>0</v>
      </c>
      <c r="J28" s="45">
        <f t="shared" si="5"/>
        <v>0</v>
      </c>
    </row>
    <row r="29" spans="1:12">
      <c r="A29" s="44" t="s">
        <v>24</v>
      </c>
      <c r="B29" s="28">
        <f t="shared" si="6"/>
        <v>22.017823875429947</v>
      </c>
      <c r="C29" s="28">
        <f t="shared" si="6"/>
        <v>15.304140957588958</v>
      </c>
      <c r="D29" s="28">
        <f t="shared" si="6"/>
        <v>7.6095232981736762</v>
      </c>
      <c r="E29" s="28">
        <f t="shared" si="6"/>
        <v>7.3565436901299615</v>
      </c>
      <c r="F29" s="28">
        <f t="shared" si="6"/>
        <v>7.1983003788478719</v>
      </c>
      <c r="G29" s="28">
        <f t="shared" si="6"/>
        <v>5.7577435675972923</v>
      </c>
      <c r="H29" s="28">
        <f>'[1]3.1 Opex cost matrix'!$M$42</f>
        <v>6.4042304769576912</v>
      </c>
      <c r="I29" s="29">
        <v>6.815014521221503</v>
      </c>
      <c r="J29" s="45">
        <f t="shared" si="5"/>
        <v>78.463320765946889</v>
      </c>
    </row>
    <row r="30" spans="1:12">
      <c r="A30" s="31" t="s">
        <v>25</v>
      </c>
      <c r="B30" s="28">
        <f t="shared" si="6"/>
        <v>4.6753146830143617</v>
      </c>
      <c r="C30" s="28">
        <f t="shared" si="6"/>
        <v>4.7955023653020934</v>
      </c>
      <c r="D30" s="28">
        <f t="shared" si="6"/>
        <v>4.6002012692389487</v>
      </c>
      <c r="E30" s="28">
        <f t="shared" si="6"/>
        <v>4.0729298648316119</v>
      </c>
      <c r="F30" s="28">
        <f t="shared" si="6"/>
        <v>3.5279613582706331</v>
      </c>
      <c r="G30" s="28">
        <f t="shared" si="6"/>
        <v>2.5828458366134388</v>
      </c>
      <c r="H30" s="32">
        <f>'[1]3.1 Opex cost matrix'!$Z$21</f>
        <v>2.2615439200000003</v>
      </c>
      <c r="I30" s="29">
        <v>2.0779071206277431</v>
      </c>
      <c r="J30" s="46">
        <f t="shared" si="5"/>
        <v>28.594206417898832</v>
      </c>
    </row>
    <row r="31" spans="1:12">
      <c r="A31" s="47" t="s">
        <v>26</v>
      </c>
      <c r="B31" s="48">
        <f>SUM(B24:B29)</f>
        <v>87.007622406116838</v>
      </c>
      <c r="C31" s="48">
        <f>SUM(C24:C29)</f>
        <v>81.255973867284908</v>
      </c>
      <c r="D31" s="48">
        <f>SUM(D24:D29)</f>
        <v>69.258524323966697</v>
      </c>
      <c r="E31" s="48">
        <f t="shared" ref="E31:G31" si="7">SUM(E24:E29)</f>
        <v>70.021439426614847</v>
      </c>
      <c r="F31" s="48">
        <f t="shared" si="7"/>
        <v>63.138310601176286</v>
      </c>
      <c r="G31" s="48">
        <f t="shared" si="7"/>
        <v>61.405129047108382</v>
      </c>
      <c r="H31" s="48">
        <f>SUM(H24:H29)</f>
        <v>64.568198116883678</v>
      </c>
      <c r="I31" s="48">
        <f t="shared" ref="I31" si="8">SUM(I24:I29)</f>
        <v>62.521684363358261</v>
      </c>
      <c r="J31" s="48">
        <f t="shared" si="5"/>
        <v>559.17688215250996</v>
      </c>
    </row>
    <row r="32" spans="1:12">
      <c r="A32" s="44" t="s">
        <v>27</v>
      </c>
      <c r="B32" s="28">
        <f t="shared" si="6"/>
        <v>18.549857431241513</v>
      </c>
      <c r="C32" s="28">
        <f t="shared" si="6"/>
        <v>18.05425100424176</v>
      </c>
      <c r="D32" s="28">
        <f t="shared" si="6"/>
        <v>20.799033579918355</v>
      </c>
      <c r="E32" s="28">
        <f t="shared" si="6"/>
        <v>20.694473647863305</v>
      </c>
      <c r="F32" s="28">
        <f t="shared" si="6"/>
        <v>15.242397975975646</v>
      </c>
      <c r="G32" s="28">
        <f t="shared" si="6"/>
        <v>20.195943519033964</v>
      </c>
      <c r="H32" s="49">
        <f>'[1]3.1 Opex cost matrix'!$V$42+'[1]3.1 Opex cost matrix'!$W$42</f>
        <v>23.491361663256111</v>
      </c>
      <c r="I32" s="29">
        <v>31.09615416817045</v>
      </c>
      <c r="J32" s="50">
        <f t="shared" si="5"/>
        <v>168.1234729897011</v>
      </c>
    </row>
    <row r="33" spans="1:21">
      <c r="A33" s="44" t="s">
        <v>28</v>
      </c>
      <c r="B33" s="28">
        <f t="shared" si="6"/>
        <v>2.1907267716833654</v>
      </c>
      <c r="C33" s="28">
        <f t="shared" si="6"/>
        <v>2.0264105199283273</v>
      </c>
      <c r="D33" s="28">
        <f t="shared" si="6"/>
        <v>2.8724304812012975</v>
      </c>
      <c r="E33" s="28">
        <f t="shared" si="6"/>
        <v>3.5512451232174675</v>
      </c>
      <c r="F33" s="28">
        <f t="shared" si="6"/>
        <v>3.819524062076495</v>
      </c>
      <c r="G33" s="28">
        <f t="shared" si="6"/>
        <v>4.445673252970721</v>
      </c>
      <c r="H33" s="49">
        <f>+'[1]3.1 Opex cost matrix'!$Y$42</f>
        <v>6.0506007544461173</v>
      </c>
      <c r="I33" s="29">
        <v>4.8023364680021077</v>
      </c>
      <c r="J33" s="50">
        <f t="shared" si="5"/>
        <v>29.758947433525893</v>
      </c>
    </row>
    <row r="34" spans="1:21">
      <c r="A34" s="51" t="s">
        <v>29</v>
      </c>
      <c r="B34" s="48">
        <f t="shared" ref="B34:D34" si="9">SUM(B32:B33)</f>
        <v>20.740584202924879</v>
      </c>
      <c r="C34" s="48">
        <f t="shared" si="9"/>
        <v>20.080661524170086</v>
      </c>
      <c r="D34" s="48">
        <f t="shared" si="9"/>
        <v>23.671464061119654</v>
      </c>
      <c r="E34" s="48">
        <f t="shared" ref="E34:G34" si="10">SUM(E32:E33)</f>
        <v>24.245718771080771</v>
      </c>
      <c r="F34" s="48">
        <f t="shared" si="10"/>
        <v>19.061922038052142</v>
      </c>
      <c r="G34" s="48">
        <f t="shared" si="10"/>
        <v>24.641616772004685</v>
      </c>
      <c r="H34" s="36">
        <f>SUM(H32:H33)</f>
        <v>29.54196241770223</v>
      </c>
      <c r="I34" s="48">
        <f t="shared" ref="I34" si="11">SUM(I32:I33)</f>
        <v>35.898490636172561</v>
      </c>
      <c r="J34" s="48">
        <f t="shared" si="5"/>
        <v>197.88242042322702</v>
      </c>
    </row>
    <row r="35" spans="1:21">
      <c r="A35" s="52" t="s">
        <v>30</v>
      </c>
      <c r="B35" s="48">
        <f>SUM(B34,B31)</f>
        <v>107.74820660904172</v>
      </c>
      <c r="C35" s="48">
        <f>SUM(C34,C31)</f>
        <v>101.33663539145499</v>
      </c>
      <c r="D35" s="48">
        <f>SUM(D34,D31)</f>
        <v>92.929988385086347</v>
      </c>
      <c r="E35" s="48">
        <f t="shared" ref="E35:G35" si="12">SUM(E34,E31)</f>
        <v>94.267158197695622</v>
      </c>
      <c r="F35" s="48">
        <f t="shared" si="12"/>
        <v>82.200232639228432</v>
      </c>
      <c r="G35" s="48">
        <f t="shared" si="12"/>
        <v>86.04674581911307</v>
      </c>
      <c r="H35" s="48">
        <f>SUM(H34,H31)</f>
        <v>94.110160534585901</v>
      </c>
      <c r="I35" s="48">
        <f t="shared" ref="I35" si="13">SUM(I34,I31)</f>
        <v>98.420174999530815</v>
      </c>
      <c r="J35" s="48">
        <f t="shared" si="5"/>
        <v>757.05930257573687</v>
      </c>
    </row>
    <row r="36" spans="1:21" ht="14.65">
      <c r="A36" s="53" t="s">
        <v>31</v>
      </c>
      <c r="B36" s="28">
        <f t="shared" si="6"/>
        <v>0</v>
      </c>
      <c r="C36" s="28">
        <f t="shared" si="6"/>
        <v>0</v>
      </c>
      <c r="D36" s="28">
        <f t="shared" si="6"/>
        <v>4.5299961917520143E-2</v>
      </c>
      <c r="E36" s="28">
        <f t="shared" si="6"/>
        <v>3.4231535273025041E-2</v>
      </c>
      <c r="F36" s="28">
        <f t="shared" si="6"/>
        <v>3.450755040199556E-2</v>
      </c>
      <c r="G36" s="28">
        <f t="shared" si="6"/>
        <v>7.6770102290739661E-2</v>
      </c>
      <c r="H36" s="54">
        <f>+'[1]5.6 UNC Sub Deducts'!$I$18+'[1]5.6 UNC Sub Deducts'!$H$18</f>
        <v>8.6757065579366383E-2</v>
      </c>
      <c r="I36" s="26">
        <v>0.29126213592233008</v>
      </c>
      <c r="J36" s="54"/>
      <c r="L36" s="43"/>
    </row>
    <row r="37" spans="1:21">
      <c r="A37" s="55" t="s">
        <v>32</v>
      </c>
      <c r="B37" s="56">
        <f t="shared" ref="B37:I37" si="14">SUM(B35,B23,B19)</f>
        <v>249.82367531094252</v>
      </c>
      <c r="C37" s="56">
        <f t="shared" si="14"/>
        <v>238.0073690701968</v>
      </c>
      <c r="D37" s="56">
        <f t="shared" si="14"/>
        <v>233.89233839173298</v>
      </c>
      <c r="E37" s="56">
        <f t="shared" si="14"/>
        <v>231.7165147682353</v>
      </c>
      <c r="F37" s="56">
        <f t="shared" si="14"/>
        <v>205.92232244100865</v>
      </c>
      <c r="G37" s="56">
        <f t="shared" si="14"/>
        <v>222.46852182721943</v>
      </c>
      <c r="H37" s="56">
        <f>SUM(H35,H23,H19)</f>
        <v>224.69029715517445</v>
      </c>
      <c r="I37" s="56">
        <f t="shared" si="14"/>
        <v>236.7614268858446</v>
      </c>
      <c r="J37" s="56">
        <f t="shared" si="5"/>
        <v>1843.282465850355</v>
      </c>
    </row>
    <row r="38" spans="1:21">
      <c r="A38" s="57" t="s">
        <v>33</v>
      </c>
      <c r="B38" s="58"/>
      <c r="C38" s="58"/>
      <c r="D38" s="58"/>
      <c r="E38" s="58"/>
      <c r="F38" s="58"/>
      <c r="G38" s="58"/>
      <c r="H38" s="58"/>
      <c r="I38" s="58"/>
      <c r="J38" s="59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</row>
    <row r="39" spans="1:21">
      <c r="A39" s="44" t="s">
        <v>34</v>
      </c>
      <c r="B39" s="28">
        <f t="shared" ref="B39:G42" si="15">+B89</f>
        <v>45.611391716548759</v>
      </c>
      <c r="C39" s="28">
        <f t="shared" si="15"/>
        <v>46.262841493911473</v>
      </c>
      <c r="D39" s="28">
        <f t="shared" si="15"/>
        <v>45.785909624236062</v>
      </c>
      <c r="E39" s="28">
        <f t="shared" si="15"/>
        <v>62.568241772132012</v>
      </c>
      <c r="F39" s="28">
        <f t="shared" si="15"/>
        <v>65.247020406474832</v>
      </c>
      <c r="G39" s="28">
        <f t="shared" si="15"/>
        <v>46.531728488938462</v>
      </c>
      <c r="H39" s="37">
        <f>'[1]3.1 Opex cost matrix'!$AE$72-'2.2 Totex costs summary'!$H$40-'2.2 Totex costs summary'!$H$41-'2.2 Totex costs summary'!$H$42</f>
        <v>64.319411977821588</v>
      </c>
      <c r="I39" s="29">
        <v>46.381653789948523</v>
      </c>
      <c r="J39" s="61">
        <f>SUM(B39:I39)</f>
        <v>422.70819927001173</v>
      </c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</row>
    <row r="40" spans="1:21">
      <c r="A40" s="44" t="s">
        <v>35</v>
      </c>
      <c r="B40" s="28">
        <f t="shared" si="15"/>
        <v>23.969414943946663</v>
      </c>
      <c r="C40" s="28">
        <f t="shared" si="15"/>
        <v>25.962727998818615</v>
      </c>
      <c r="D40" s="28">
        <f t="shared" si="15"/>
        <v>26.15442098891193</v>
      </c>
      <c r="E40" s="28">
        <f t="shared" si="15"/>
        <v>35.651465541592316</v>
      </c>
      <c r="F40" s="28">
        <f t="shared" si="15"/>
        <v>43.898458352259198</v>
      </c>
      <c r="G40" s="28">
        <f t="shared" si="15"/>
        <v>30.325671049044505</v>
      </c>
      <c r="H40" s="28">
        <f>'[1]3.1 Opex cost matrix'!$AE$60</f>
        <v>23.589467609999996</v>
      </c>
      <c r="I40" s="29">
        <v>33.855077410619678</v>
      </c>
      <c r="J40" s="61">
        <f>SUM(B40:I40)</f>
        <v>243.40670389519289</v>
      </c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</row>
    <row r="41" spans="1:21">
      <c r="A41" s="44" t="s">
        <v>36</v>
      </c>
      <c r="B41" s="28">
        <f t="shared" si="15"/>
        <v>10.287703452901383</v>
      </c>
      <c r="C41" s="28">
        <f t="shared" si="15"/>
        <v>7.6550627763467274</v>
      </c>
      <c r="D41" s="28">
        <f t="shared" si="15"/>
        <v>5.5242240460861476</v>
      </c>
      <c r="E41" s="28">
        <f t="shared" si="15"/>
        <v>5.43259078857802</v>
      </c>
      <c r="F41" s="28">
        <f t="shared" si="15"/>
        <v>6.1915464671932536</v>
      </c>
      <c r="G41" s="28">
        <f t="shared" si="15"/>
        <v>7.241620470310191</v>
      </c>
      <c r="H41" s="28">
        <f>'[1]3.1 Opex cost matrix'!$AE$52</f>
        <v>3.2115906199999995</v>
      </c>
      <c r="I41" s="29">
        <v>6.8377310679611636</v>
      </c>
      <c r="J41" s="61">
        <f>SUM(B41:I41)</f>
        <v>52.382069689376891</v>
      </c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</row>
    <row r="42" spans="1:21">
      <c r="A42" s="62" t="s">
        <v>37</v>
      </c>
      <c r="B42" s="28">
        <f t="shared" si="15"/>
        <v>5.2367861733386496</v>
      </c>
      <c r="C42" s="28">
        <f t="shared" si="15"/>
        <v>5.3219825144141693</v>
      </c>
      <c r="D42" s="28">
        <f t="shared" si="15"/>
        <v>7.4744254230331988</v>
      </c>
      <c r="E42" s="28">
        <f t="shared" si="15"/>
        <v>7.3555017463953076</v>
      </c>
      <c r="F42" s="28">
        <f t="shared" si="15"/>
        <v>7.3087005479083311</v>
      </c>
      <c r="G42" s="28">
        <f t="shared" si="15"/>
        <v>7.0657311968317167</v>
      </c>
      <c r="H42" s="28">
        <f>'[1]3.1 Opex cost matrix'!$AE$58</f>
        <v>7.1133959999999998</v>
      </c>
      <c r="I42" s="29">
        <v>7.2734478117233001</v>
      </c>
      <c r="J42" s="63">
        <f>SUM(B42:I42)</f>
        <v>54.149971413644671</v>
      </c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</row>
    <row r="43" spans="1:21">
      <c r="A43" s="64" t="s">
        <v>38</v>
      </c>
      <c r="B43" s="59">
        <f t="shared" ref="B43:J43" si="16">SUM(B39:B42)</f>
        <v>85.105296286735452</v>
      </c>
      <c r="C43" s="59">
        <f t="shared" si="16"/>
        <v>85.202614783490986</v>
      </c>
      <c r="D43" s="59">
        <f t="shared" si="16"/>
        <v>84.938980082267335</v>
      </c>
      <c r="E43" s="59">
        <f>SUM(E39:E42)</f>
        <v>111.00779984869766</v>
      </c>
      <c r="F43" s="59">
        <f>SUM(F39:F42)</f>
        <v>122.64572577383561</v>
      </c>
      <c r="G43" s="65">
        <f t="shared" si="16"/>
        <v>91.164751205124887</v>
      </c>
      <c r="H43" s="65">
        <f t="shared" si="16"/>
        <v>98.233866207821578</v>
      </c>
      <c r="I43" s="65">
        <f t="shared" si="16"/>
        <v>94.34791008025266</v>
      </c>
      <c r="J43" s="66">
        <f t="shared" si="16"/>
        <v>772.64694426822621</v>
      </c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</row>
    <row r="44" spans="1:21" ht="24.75">
      <c r="A44" s="64" t="s">
        <v>39</v>
      </c>
      <c r="B44" s="59">
        <f t="shared" ref="B44:J44" si="17">+B43+B37</f>
        <v>334.92897159767796</v>
      </c>
      <c r="C44" s="59">
        <f t="shared" si="17"/>
        <v>323.20998385368779</v>
      </c>
      <c r="D44" s="59">
        <f t="shared" si="17"/>
        <v>318.83131847400034</v>
      </c>
      <c r="E44" s="59">
        <f>+E43+E37</f>
        <v>342.72431461693293</v>
      </c>
      <c r="F44" s="59">
        <f>+F43+F37</f>
        <v>328.56804821484423</v>
      </c>
      <c r="G44" s="59">
        <f t="shared" si="17"/>
        <v>313.63327303234433</v>
      </c>
      <c r="H44" s="59">
        <f t="shared" si="17"/>
        <v>322.92416336299601</v>
      </c>
      <c r="I44" s="59">
        <f t="shared" si="17"/>
        <v>331.10933696609726</v>
      </c>
      <c r="J44" s="59">
        <f t="shared" si="17"/>
        <v>2615.9294101185815</v>
      </c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</row>
    <row r="45" spans="1:21">
      <c r="B45" s="67"/>
      <c r="C45" s="67"/>
      <c r="D45" s="67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</row>
    <row r="46" spans="1:21">
      <c r="A46" s="68" t="s">
        <v>40</v>
      </c>
      <c r="B46" s="69"/>
      <c r="C46" s="69"/>
      <c r="D46" s="69"/>
      <c r="E46" s="70"/>
      <c r="F46" s="70"/>
      <c r="G46" s="70"/>
      <c r="H46" s="70"/>
      <c r="I46" s="70"/>
      <c r="J46" s="71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</row>
    <row r="47" spans="1:21">
      <c r="A47" s="72" t="s">
        <v>41</v>
      </c>
      <c r="B47" s="28">
        <f t="shared" ref="B47:H51" si="18">+B97</f>
        <v>0</v>
      </c>
      <c r="C47" s="28">
        <f t="shared" si="18"/>
        <v>0</v>
      </c>
      <c r="D47" s="28">
        <f t="shared" si="18"/>
        <v>0.2454300386913697</v>
      </c>
      <c r="E47" s="28">
        <f t="shared" si="18"/>
        <v>0.46792283960498077</v>
      </c>
      <c r="F47" s="28">
        <f t="shared" si="18"/>
        <v>0.41917060890812491</v>
      </c>
      <c r="G47" s="28">
        <f t="shared" si="18"/>
        <v>0.30167578453766714</v>
      </c>
      <c r="H47" s="73">
        <f>'[1]3.1 Opex cost matrix'!$AE$47+'[1]3.14 Smart Metering'!$C$17+'[1]3.14 Smart Metering'!$C$18</f>
        <v>0.23831552211405849</v>
      </c>
      <c r="I47" s="29">
        <v>0</v>
      </c>
      <c r="J47" s="74">
        <f>SUM(B47:I47)</f>
        <v>1.6725147938562011</v>
      </c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</row>
    <row r="48" spans="1:21">
      <c r="A48" s="72" t="s">
        <v>42</v>
      </c>
      <c r="B48" s="28">
        <f t="shared" si="18"/>
        <v>0.67318413292592405</v>
      </c>
      <c r="C48" s="28">
        <f t="shared" si="18"/>
        <v>0.22798852444940365</v>
      </c>
      <c r="D48" s="28">
        <f t="shared" si="18"/>
        <v>1.4308076877544122</v>
      </c>
      <c r="E48" s="28">
        <f t="shared" si="18"/>
        <v>1.2090706872109602</v>
      </c>
      <c r="F48" s="28">
        <f t="shared" si="18"/>
        <v>0.58601460003157391</v>
      </c>
      <c r="G48" s="28">
        <f t="shared" si="18"/>
        <v>0.75125928107787243</v>
      </c>
      <c r="H48" s="73">
        <f>'[1]3.13 Streetworks'!$Q$29+'[1]3.13 Streetworks'!$Q$41+'[1]3.13 Streetworks'!$Q$93+'[1]3.13 Streetworks'!$Q$114+'[1]3.13 Streetworks'!$G$179</f>
        <v>0.82120583970484817</v>
      </c>
      <c r="I48" s="29">
        <v>0.71950798527480253</v>
      </c>
      <c r="J48" s="73">
        <f>SUM(B48:I48)</f>
        <v>6.4190387384297969</v>
      </c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</row>
    <row r="49" spans="1:32">
      <c r="A49" s="72" t="s">
        <v>43</v>
      </c>
      <c r="B49" s="28">
        <f t="shared" si="18"/>
        <v>0</v>
      </c>
      <c r="C49" s="28">
        <f t="shared" si="18"/>
        <v>0</v>
      </c>
      <c r="D49" s="28">
        <f t="shared" si="18"/>
        <v>0</v>
      </c>
      <c r="E49" s="28">
        <f t="shared" si="18"/>
        <v>0</v>
      </c>
      <c r="F49" s="28">
        <f t="shared" si="18"/>
        <v>0</v>
      </c>
      <c r="G49" s="28">
        <f t="shared" si="18"/>
        <v>0</v>
      </c>
      <c r="H49" s="73">
        <f>+'[1]4.8 PSUP'!$P$51+'[1]4.8 PSUP'!$L$64</f>
        <v>9.9579559999999998E-2</v>
      </c>
      <c r="I49" s="29">
        <v>0</v>
      </c>
      <c r="J49" s="73">
        <f>SUM(B49:I49)</f>
        <v>9.9579559999999998E-2</v>
      </c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</row>
    <row r="50" spans="1:32">
      <c r="A50" s="44" t="s">
        <v>23</v>
      </c>
      <c r="B50" s="28">
        <f t="shared" si="18"/>
        <v>0</v>
      </c>
      <c r="C50" s="28">
        <f t="shared" si="18"/>
        <v>0</v>
      </c>
      <c r="D50" s="28">
        <f t="shared" si="18"/>
        <v>0</v>
      </c>
      <c r="E50" s="28">
        <f t="shared" si="18"/>
        <v>0</v>
      </c>
      <c r="F50" s="28">
        <f t="shared" si="18"/>
        <v>0</v>
      </c>
      <c r="G50" s="28">
        <f t="shared" si="18"/>
        <v>0</v>
      </c>
      <c r="H50" s="28">
        <f>+H100</f>
        <v>0</v>
      </c>
      <c r="I50" s="29">
        <v>0</v>
      </c>
      <c r="J50" s="73">
        <f>SUM(B50:I50)</f>
        <v>0</v>
      </c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</row>
    <row r="51" spans="1:32">
      <c r="A51" s="44" t="s">
        <v>44</v>
      </c>
      <c r="B51" s="28">
        <f t="shared" si="18"/>
        <v>0</v>
      </c>
      <c r="C51" s="28">
        <f t="shared" si="18"/>
        <v>0</v>
      </c>
      <c r="D51" s="28">
        <f t="shared" si="18"/>
        <v>0</v>
      </c>
      <c r="E51" s="28">
        <f t="shared" si="18"/>
        <v>0</v>
      </c>
      <c r="F51" s="28">
        <f t="shared" si="18"/>
        <v>0</v>
      </c>
      <c r="G51" s="28">
        <f t="shared" si="18"/>
        <v>0</v>
      </c>
      <c r="H51" s="28">
        <f t="shared" si="18"/>
        <v>0</v>
      </c>
      <c r="I51" s="29">
        <v>0</v>
      </c>
      <c r="J51" s="73">
        <f>SUM(B51:I51)</f>
        <v>0</v>
      </c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</row>
    <row r="52" spans="1:32">
      <c r="A52" s="75" t="s">
        <v>45</v>
      </c>
      <c r="B52" s="65">
        <f t="shared" ref="B52:J52" si="19">SUM(B47:B51)</f>
        <v>0.67318413292592405</v>
      </c>
      <c r="C52" s="65">
        <f>SUM(C47:C51)</f>
        <v>0.22798852444940365</v>
      </c>
      <c r="D52" s="65">
        <f>SUM(D47:D51)</f>
        <v>1.676237726445782</v>
      </c>
      <c r="E52" s="59">
        <f t="shared" si="19"/>
        <v>1.676993526815941</v>
      </c>
      <c r="F52" s="59">
        <f t="shared" si="19"/>
        <v>1.0051852089396989</v>
      </c>
      <c r="G52" s="59">
        <f t="shared" si="19"/>
        <v>1.0529350656155396</v>
      </c>
      <c r="H52" s="59">
        <f t="shared" si="19"/>
        <v>1.1591009218189066</v>
      </c>
      <c r="I52" s="59">
        <f t="shared" si="19"/>
        <v>0.71950798527480253</v>
      </c>
      <c r="J52" s="59">
        <f t="shared" si="19"/>
        <v>8.1911330922859982</v>
      </c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</row>
    <row r="53" spans="1:32">
      <c r="A53" s="76"/>
      <c r="B53" s="77"/>
      <c r="C53" s="78"/>
      <c r="D53" s="79"/>
      <c r="E53" s="78"/>
      <c r="F53" s="78"/>
      <c r="G53" s="78"/>
      <c r="H53" s="78"/>
      <c r="I53" s="78"/>
      <c r="J53" s="78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</row>
    <row r="54" spans="1:32" ht="24.75">
      <c r="A54" s="64" t="s">
        <v>46</v>
      </c>
      <c r="B54" s="80">
        <f t="shared" ref="B54:I54" si="20">+B44-B52</f>
        <v>334.25578746475202</v>
      </c>
      <c r="C54" s="80">
        <f t="shared" si="20"/>
        <v>322.98199532923837</v>
      </c>
      <c r="D54" s="80">
        <f>+D44-D52</f>
        <v>317.15508074755456</v>
      </c>
      <c r="E54" s="80">
        <f t="shared" si="20"/>
        <v>341.04732109011701</v>
      </c>
      <c r="F54" s="80">
        <f t="shared" si="20"/>
        <v>327.56286300590455</v>
      </c>
      <c r="G54" s="80">
        <f t="shared" si="20"/>
        <v>312.58033796672879</v>
      </c>
      <c r="H54" s="80">
        <f t="shared" si="20"/>
        <v>321.76506244117712</v>
      </c>
      <c r="I54" s="80">
        <f t="shared" si="20"/>
        <v>330.38982898082247</v>
      </c>
      <c r="J54" s="80">
        <f>SUM(B54:I54)</f>
        <v>2607.7382770262952</v>
      </c>
    </row>
    <row r="55" spans="1:32">
      <c r="B55" s="67"/>
      <c r="C55" s="60"/>
      <c r="D55" s="81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</row>
    <row r="57" spans="1:32">
      <c r="A57" s="6" t="s">
        <v>47</v>
      </c>
      <c r="L57" s="6" t="s">
        <v>48</v>
      </c>
      <c r="O57" s="6"/>
      <c r="W57" s="6" t="s">
        <v>49</v>
      </c>
      <c r="Z57" s="6"/>
    </row>
    <row r="58" spans="1:32">
      <c r="A58" s="7" t="str">
        <f>+A8</f>
        <v>2019/20 prices</v>
      </c>
      <c r="O58" s="6"/>
      <c r="Z58" s="6"/>
    </row>
    <row r="59" spans="1:32" ht="12.75" customHeight="1">
      <c r="A59" s="8"/>
      <c r="B59" s="9" t="s">
        <v>2</v>
      </c>
      <c r="C59" s="10"/>
      <c r="D59" s="10"/>
      <c r="E59" s="10"/>
      <c r="F59" s="10"/>
      <c r="G59" s="10"/>
      <c r="H59" s="82" t="s">
        <v>4</v>
      </c>
      <c r="I59" s="83"/>
      <c r="J59" s="12" t="s">
        <v>5</v>
      </c>
      <c r="L59" s="8"/>
      <c r="M59" s="9"/>
      <c r="N59" s="10"/>
      <c r="O59" s="10"/>
      <c r="P59" s="10"/>
      <c r="Q59" s="10"/>
      <c r="R59" s="10"/>
      <c r="S59" s="10"/>
      <c r="T59" s="11"/>
      <c r="U59" s="11" t="s">
        <v>5</v>
      </c>
      <c r="W59" s="8"/>
      <c r="X59" s="9"/>
      <c r="Y59" s="10"/>
      <c r="Z59" s="10"/>
      <c r="AA59" s="10"/>
      <c r="AB59" s="10"/>
      <c r="AC59" s="10"/>
      <c r="AD59" s="10"/>
      <c r="AE59" s="11"/>
      <c r="AF59" s="12" t="s">
        <v>5</v>
      </c>
    </row>
    <row r="60" spans="1:32">
      <c r="A60" s="14"/>
      <c r="B60" s="15"/>
      <c r="C60" s="16"/>
      <c r="D60" s="16"/>
      <c r="E60" s="16"/>
      <c r="F60" s="16"/>
      <c r="G60" s="16"/>
      <c r="H60" s="84"/>
      <c r="I60" s="85"/>
      <c r="J60" s="86"/>
      <c r="L60" s="14"/>
      <c r="M60" s="15"/>
      <c r="N60" s="16"/>
      <c r="O60" s="16"/>
      <c r="P60" s="16"/>
      <c r="Q60" s="16"/>
      <c r="R60" s="16"/>
      <c r="S60" s="16"/>
      <c r="T60" s="17"/>
      <c r="U60" s="20"/>
      <c r="W60" s="14"/>
      <c r="X60" s="15"/>
      <c r="Y60" s="16"/>
      <c r="Z60" s="16"/>
      <c r="AA60" s="16"/>
      <c r="AB60" s="16"/>
      <c r="AC60" s="16"/>
      <c r="AD60" s="16"/>
      <c r="AE60" s="17"/>
      <c r="AF60" s="86"/>
    </row>
    <row r="61" spans="1:32">
      <c r="A61" s="21" t="s">
        <v>6</v>
      </c>
      <c r="B61" s="22">
        <v>2014</v>
      </c>
      <c r="C61" s="23">
        <v>2015</v>
      </c>
      <c r="D61" s="23">
        <v>2016</v>
      </c>
      <c r="E61" s="87">
        <v>2017</v>
      </c>
      <c r="F61" s="23">
        <v>2018</v>
      </c>
      <c r="G61" s="87">
        <v>2019</v>
      </c>
      <c r="H61" s="23">
        <v>2020</v>
      </c>
      <c r="I61" s="88">
        <v>2021</v>
      </c>
      <c r="J61" s="18"/>
      <c r="L61" s="21" t="s">
        <v>6</v>
      </c>
      <c r="M61" s="22">
        <v>2014</v>
      </c>
      <c r="N61" s="23">
        <v>2015</v>
      </c>
      <c r="O61" s="23">
        <v>2016</v>
      </c>
      <c r="P61" s="87">
        <v>2017</v>
      </c>
      <c r="Q61" s="23">
        <v>2018</v>
      </c>
      <c r="R61" s="87">
        <v>2019</v>
      </c>
      <c r="S61" s="23">
        <v>2020</v>
      </c>
      <c r="T61" s="88">
        <v>2021</v>
      </c>
      <c r="U61" s="17"/>
      <c r="W61" s="21" t="s">
        <v>6</v>
      </c>
      <c r="X61" s="22">
        <v>2014</v>
      </c>
      <c r="Y61" s="23">
        <v>2015</v>
      </c>
      <c r="Z61" s="23">
        <v>2016</v>
      </c>
      <c r="AA61" s="87">
        <v>2017</v>
      </c>
      <c r="AB61" s="23">
        <v>2018</v>
      </c>
      <c r="AC61" s="87">
        <v>2019</v>
      </c>
      <c r="AD61" s="23">
        <v>2020</v>
      </c>
      <c r="AE61" s="87">
        <v>2021</v>
      </c>
      <c r="AF61" s="18"/>
    </row>
    <row r="62" spans="1:32">
      <c r="A62" s="24" t="s">
        <v>7</v>
      </c>
      <c r="B62" s="25">
        <v>9.7974696955343408</v>
      </c>
      <c r="C62" s="89">
        <v>7.2031166217430123</v>
      </c>
      <c r="D62" s="89">
        <v>12.577972881110663</v>
      </c>
      <c r="E62" s="89">
        <v>10.124222920123939</v>
      </c>
      <c r="F62" s="89">
        <v>7.9354119281686701</v>
      </c>
      <c r="G62" s="89">
        <v>9.8752375200617344</v>
      </c>
      <c r="H62" s="89">
        <v>8.5618823794421051</v>
      </c>
      <c r="I62" s="90">
        <v>9.2368182612506544</v>
      </c>
      <c r="J62" s="27">
        <v>75.312132207435127</v>
      </c>
      <c r="K62" s="60"/>
      <c r="L62" s="24" t="s">
        <v>7</v>
      </c>
      <c r="M62" s="91">
        <f>B12-B62</f>
        <v>0</v>
      </c>
      <c r="N62" s="89">
        <f t="shared" ref="N62:U85" si="21">C12-C62</f>
        <v>0</v>
      </c>
      <c r="O62" s="89">
        <f t="shared" si="21"/>
        <v>0</v>
      </c>
      <c r="P62" s="89">
        <f t="shared" si="21"/>
        <v>0</v>
      </c>
      <c r="Q62" s="89">
        <f t="shared" si="21"/>
        <v>0</v>
      </c>
      <c r="R62" s="89">
        <f t="shared" si="21"/>
        <v>0</v>
      </c>
      <c r="S62" s="89">
        <f t="shared" si="21"/>
        <v>-0.80338347944210575</v>
      </c>
      <c r="T62" s="90">
        <f t="shared" si="21"/>
        <v>-0.27190119798193102</v>
      </c>
      <c r="U62" s="27">
        <f t="shared" si="21"/>
        <v>-1.0752846774240368</v>
      </c>
      <c r="W62" s="24" t="s">
        <v>7</v>
      </c>
      <c r="X62" s="92">
        <f>M62/B62</f>
        <v>0</v>
      </c>
      <c r="Y62" s="93">
        <f t="shared" ref="Y62:Z94" si="22">N62/C62</f>
        <v>0</v>
      </c>
      <c r="Z62" s="93">
        <f>O62/D62</f>
        <v>0</v>
      </c>
      <c r="AA62" s="93">
        <f t="shared" ref="AA62:AF94" si="23">P62/E62</f>
        <v>0</v>
      </c>
      <c r="AB62" s="93">
        <f t="shared" si="23"/>
        <v>0</v>
      </c>
      <c r="AC62" s="93">
        <f t="shared" si="23"/>
        <v>0</v>
      </c>
      <c r="AD62" s="93">
        <f t="shared" si="23"/>
        <v>-9.3832576043219887E-2</v>
      </c>
      <c r="AE62" s="94">
        <f t="shared" si="23"/>
        <v>-2.9436672920434392E-2</v>
      </c>
      <c r="AF62" s="95">
        <f t="shared" si="23"/>
        <v>-1.4277708596303429E-2</v>
      </c>
    </row>
    <row r="63" spans="1:32">
      <c r="A63" s="24" t="s">
        <v>8</v>
      </c>
      <c r="B63" s="28">
        <v>11.873776208957716</v>
      </c>
      <c r="C63" s="96">
        <v>10.777431990102688</v>
      </c>
      <c r="D63" s="96">
        <v>13.302543123466343</v>
      </c>
      <c r="E63" s="96">
        <v>12.164872513233354</v>
      </c>
      <c r="F63" s="96">
        <v>13.340167463510889</v>
      </c>
      <c r="G63" s="96">
        <v>12.88340214984391</v>
      </c>
      <c r="H63" s="96">
        <v>13.21951071905479</v>
      </c>
      <c r="I63" s="97">
        <v>12.881780213385913</v>
      </c>
      <c r="J63" s="30">
        <v>100.44348438155562</v>
      </c>
      <c r="K63" s="60"/>
      <c r="L63" s="24" t="s">
        <v>8</v>
      </c>
      <c r="M63" s="98">
        <f t="shared" ref="M63:M85" si="24">B13-B63</f>
        <v>0</v>
      </c>
      <c r="N63" s="96">
        <f t="shared" si="21"/>
        <v>0</v>
      </c>
      <c r="O63" s="96">
        <f t="shared" si="21"/>
        <v>0</v>
      </c>
      <c r="P63" s="96">
        <f t="shared" si="21"/>
        <v>0</v>
      </c>
      <c r="Q63" s="96">
        <f t="shared" si="21"/>
        <v>0</v>
      </c>
      <c r="R63" s="96">
        <f t="shared" si="21"/>
        <v>0</v>
      </c>
      <c r="S63" s="96">
        <f t="shared" si="21"/>
        <v>1.2246083620018169</v>
      </c>
      <c r="T63" s="97">
        <f t="shared" si="21"/>
        <v>0.7084391346240313</v>
      </c>
      <c r="U63" s="30">
        <f t="shared" si="21"/>
        <v>1.9330474966258322</v>
      </c>
      <c r="W63" s="24" t="s">
        <v>8</v>
      </c>
      <c r="X63" s="99">
        <f t="shared" ref="X63:AF94" si="25">M63/B63</f>
        <v>0</v>
      </c>
      <c r="Y63" s="100">
        <f t="shared" si="22"/>
        <v>0</v>
      </c>
      <c r="Z63" s="100">
        <f t="shared" si="22"/>
        <v>0</v>
      </c>
      <c r="AA63" s="100">
        <f t="shared" si="23"/>
        <v>0</v>
      </c>
      <c r="AB63" s="100">
        <f t="shared" si="23"/>
        <v>0</v>
      </c>
      <c r="AC63" s="100">
        <f t="shared" si="23"/>
        <v>0</v>
      </c>
      <c r="AD63" s="100">
        <f t="shared" si="23"/>
        <v>9.2636436251505819E-2</v>
      </c>
      <c r="AE63" s="101">
        <f t="shared" si="23"/>
        <v>5.4995437190262508E-2</v>
      </c>
      <c r="AF63" s="102">
        <f t="shared" si="23"/>
        <v>1.9245125838951844E-2</v>
      </c>
    </row>
    <row r="64" spans="1:32">
      <c r="A64" s="24" t="s">
        <v>9</v>
      </c>
      <c r="B64" s="28">
        <v>4.3705129014974196</v>
      </c>
      <c r="C64" s="96">
        <v>3.96600760147874</v>
      </c>
      <c r="D64" s="96">
        <v>3.8268709898163595</v>
      </c>
      <c r="E64" s="96">
        <v>3.8749280317932384</v>
      </c>
      <c r="F64" s="96">
        <v>4.8206846137007133</v>
      </c>
      <c r="G64" s="96">
        <v>5.77098069838061</v>
      </c>
      <c r="H64" s="96">
        <v>5.1751607709467899</v>
      </c>
      <c r="I64" s="97">
        <v>4.4905869650167682</v>
      </c>
      <c r="J64" s="30">
        <v>36.295732572630641</v>
      </c>
      <c r="K64" s="60"/>
      <c r="L64" s="24" t="s">
        <v>9</v>
      </c>
      <c r="M64" s="98">
        <f t="shared" si="24"/>
        <v>0</v>
      </c>
      <c r="N64" s="96">
        <f t="shared" si="21"/>
        <v>0</v>
      </c>
      <c r="O64" s="96">
        <f t="shared" si="21"/>
        <v>0</v>
      </c>
      <c r="P64" s="96">
        <f t="shared" si="21"/>
        <v>0</v>
      </c>
      <c r="Q64" s="96">
        <f t="shared" si="21"/>
        <v>0</v>
      </c>
      <c r="R64" s="96">
        <f t="shared" si="21"/>
        <v>0</v>
      </c>
      <c r="S64" s="96">
        <f t="shared" si="21"/>
        <v>2.2038014490532118</v>
      </c>
      <c r="T64" s="97">
        <f t="shared" si="21"/>
        <v>2.9900894019794046</v>
      </c>
      <c r="U64" s="30">
        <f t="shared" si="21"/>
        <v>5.1938908510326129</v>
      </c>
      <c r="W64" s="24" t="s">
        <v>9</v>
      </c>
      <c r="X64" s="99">
        <f t="shared" si="25"/>
        <v>0</v>
      </c>
      <c r="Y64" s="100">
        <f t="shared" si="22"/>
        <v>0</v>
      </c>
      <c r="Z64" s="100">
        <f t="shared" si="22"/>
        <v>0</v>
      </c>
      <c r="AA64" s="100">
        <f t="shared" si="23"/>
        <v>0</v>
      </c>
      <c r="AB64" s="100">
        <f t="shared" si="23"/>
        <v>0</v>
      </c>
      <c r="AC64" s="100">
        <f t="shared" si="23"/>
        <v>0</v>
      </c>
      <c r="AD64" s="100">
        <f t="shared" si="23"/>
        <v>0.42584212290085605</v>
      </c>
      <c r="AE64" s="101">
        <f t="shared" si="23"/>
        <v>0.66585714189998757</v>
      </c>
      <c r="AF64" s="102">
        <f t="shared" si="23"/>
        <v>0.14309921533169845</v>
      </c>
    </row>
    <row r="65" spans="1:32">
      <c r="A65" s="24" t="s">
        <v>10</v>
      </c>
      <c r="B65" s="28">
        <v>2.6188731505480844</v>
      </c>
      <c r="C65" s="96">
        <v>2.4081469597447738</v>
      </c>
      <c r="D65" s="96">
        <v>2.719436785201236</v>
      </c>
      <c r="E65" s="96">
        <v>1.7722073847996653</v>
      </c>
      <c r="F65" s="96">
        <v>1.0404710430006661</v>
      </c>
      <c r="G65" s="96">
        <v>1.2850234414446677</v>
      </c>
      <c r="H65" s="96">
        <v>2.3554167587944894</v>
      </c>
      <c r="I65" s="97">
        <v>2.3175451547899173</v>
      </c>
      <c r="J65" s="30">
        <v>16.517120678323501</v>
      </c>
      <c r="K65" s="60"/>
      <c r="L65" s="24" t="s">
        <v>10</v>
      </c>
      <c r="M65" s="98">
        <f t="shared" si="24"/>
        <v>0</v>
      </c>
      <c r="N65" s="96">
        <f t="shared" si="21"/>
        <v>0</v>
      </c>
      <c r="O65" s="96">
        <f t="shared" si="21"/>
        <v>0</v>
      </c>
      <c r="P65" s="96">
        <f t="shared" si="21"/>
        <v>0</v>
      </c>
      <c r="Q65" s="96">
        <f t="shared" si="21"/>
        <v>0</v>
      </c>
      <c r="R65" s="96">
        <f t="shared" si="21"/>
        <v>0</v>
      </c>
      <c r="S65" s="96">
        <f t="shared" si="21"/>
        <v>-0.27682730755560048</v>
      </c>
      <c r="T65" s="97">
        <f t="shared" si="21"/>
        <v>0.24173418222681997</v>
      </c>
      <c r="U65" s="30">
        <f t="shared" si="21"/>
        <v>-3.5093125328781838E-2</v>
      </c>
      <c r="W65" s="24" t="s">
        <v>10</v>
      </c>
      <c r="X65" s="99">
        <f t="shared" si="25"/>
        <v>0</v>
      </c>
      <c r="Y65" s="100">
        <f t="shared" si="22"/>
        <v>0</v>
      </c>
      <c r="Z65" s="100">
        <f t="shared" si="22"/>
        <v>0</v>
      </c>
      <c r="AA65" s="100">
        <f t="shared" si="23"/>
        <v>0</v>
      </c>
      <c r="AB65" s="100">
        <f t="shared" si="23"/>
        <v>0</v>
      </c>
      <c r="AC65" s="100">
        <f t="shared" si="23"/>
        <v>0</v>
      </c>
      <c r="AD65" s="100">
        <f t="shared" si="23"/>
        <v>-0.11752795190999731</v>
      </c>
      <c r="AE65" s="101">
        <f t="shared" si="23"/>
        <v>0.10430613691698831</v>
      </c>
      <c r="AF65" s="102">
        <f t="shared" si="23"/>
        <v>-2.1246515062904908E-3</v>
      </c>
    </row>
    <row r="66" spans="1:32">
      <c r="A66" s="24" t="s">
        <v>11</v>
      </c>
      <c r="B66" s="28">
        <v>30.24911175738962</v>
      </c>
      <c r="C66" s="96">
        <v>24.691324298854546</v>
      </c>
      <c r="D66" s="96">
        <v>22.266524555666681</v>
      </c>
      <c r="E66" s="96">
        <v>24.931192402998857</v>
      </c>
      <c r="F66" s="96">
        <v>25.217160925637007</v>
      </c>
      <c r="G66" s="96">
        <v>26.69118460754537</v>
      </c>
      <c r="H66" s="96">
        <v>27.038848645599618</v>
      </c>
      <c r="I66" s="97">
        <v>22.436217403548909</v>
      </c>
      <c r="J66" s="30">
        <v>203.5215645972406</v>
      </c>
      <c r="K66" s="60"/>
      <c r="L66" s="24" t="s">
        <v>11</v>
      </c>
      <c r="M66" s="98">
        <f t="shared" si="24"/>
        <v>0</v>
      </c>
      <c r="N66" s="96">
        <f t="shared" si="21"/>
        <v>0</v>
      </c>
      <c r="O66" s="96">
        <f t="shared" si="21"/>
        <v>0</v>
      </c>
      <c r="P66" s="96">
        <f t="shared" si="21"/>
        <v>0</v>
      </c>
      <c r="Q66" s="96">
        <f t="shared" si="21"/>
        <v>0</v>
      </c>
      <c r="R66" s="96">
        <f t="shared" si="21"/>
        <v>0</v>
      </c>
      <c r="S66" s="96">
        <f t="shared" si="21"/>
        <v>-7.5743253555103216</v>
      </c>
      <c r="T66" s="97">
        <f t="shared" si="21"/>
        <v>4.0315171433054253</v>
      </c>
      <c r="U66" s="30">
        <f t="shared" si="21"/>
        <v>-3.5428082122049034</v>
      </c>
      <c r="W66" s="24" t="s">
        <v>11</v>
      </c>
      <c r="X66" s="99">
        <f t="shared" si="25"/>
        <v>0</v>
      </c>
      <c r="Y66" s="100">
        <f t="shared" si="22"/>
        <v>0</v>
      </c>
      <c r="Z66" s="100">
        <f t="shared" si="22"/>
        <v>0</v>
      </c>
      <c r="AA66" s="100">
        <f t="shared" si="23"/>
        <v>0</v>
      </c>
      <c r="AB66" s="100">
        <f t="shared" si="23"/>
        <v>0</v>
      </c>
      <c r="AC66" s="100">
        <f t="shared" si="23"/>
        <v>0</v>
      </c>
      <c r="AD66" s="100">
        <f t="shared" si="23"/>
        <v>-0.28012751041242984</v>
      </c>
      <c r="AE66" s="101">
        <f t="shared" si="23"/>
        <v>0.17968791578333204</v>
      </c>
      <c r="AF66" s="102">
        <f t="shared" si="23"/>
        <v>-1.7407532313423152E-2</v>
      </c>
    </row>
    <row r="67" spans="1:32">
      <c r="A67" s="31" t="s">
        <v>12</v>
      </c>
      <c r="B67" s="32">
        <v>6.3131862335720079</v>
      </c>
      <c r="C67" s="103">
        <v>8.5661502642721512</v>
      </c>
      <c r="D67" s="103">
        <v>8.3902558184476295</v>
      </c>
      <c r="E67" s="103">
        <v>5.5988951807173937</v>
      </c>
      <c r="F67" s="103">
        <v>8.3856302815753487</v>
      </c>
      <c r="G67" s="103">
        <v>9.4377568901580204</v>
      </c>
      <c r="H67" s="103">
        <v>12.035552848409521</v>
      </c>
      <c r="I67" s="104">
        <v>10.435649831571718</v>
      </c>
      <c r="J67" s="33">
        <v>69.163077348723789</v>
      </c>
      <c r="K67" s="60"/>
      <c r="L67" s="31" t="s">
        <v>12</v>
      </c>
      <c r="M67" s="105">
        <f t="shared" si="24"/>
        <v>0</v>
      </c>
      <c r="N67" s="103">
        <f t="shared" si="21"/>
        <v>0</v>
      </c>
      <c r="O67" s="103">
        <f t="shared" si="21"/>
        <v>0</v>
      </c>
      <c r="P67" s="103">
        <f t="shared" si="21"/>
        <v>0</v>
      </c>
      <c r="Q67" s="103">
        <f t="shared" si="21"/>
        <v>0</v>
      </c>
      <c r="R67" s="103">
        <f t="shared" si="21"/>
        <v>0</v>
      </c>
      <c r="S67" s="103">
        <f t="shared" si="21"/>
        <v>-2.7475638584095208</v>
      </c>
      <c r="T67" s="104">
        <f t="shared" si="21"/>
        <v>1.8412046305289724</v>
      </c>
      <c r="U67" s="33">
        <f t="shared" si="21"/>
        <v>-0.90635922788054302</v>
      </c>
      <c r="W67" s="31" t="s">
        <v>12</v>
      </c>
      <c r="X67" s="106">
        <f t="shared" si="25"/>
        <v>0</v>
      </c>
      <c r="Y67" s="107">
        <f t="shared" si="22"/>
        <v>0</v>
      </c>
      <c r="Z67" s="107">
        <f t="shared" si="22"/>
        <v>0</v>
      </c>
      <c r="AA67" s="107">
        <f t="shared" si="23"/>
        <v>0</v>
      </c>
      <c r="AB67" s="107">
        <f t="shared" si="23"/>
        <v>0</v>
      </c>
      <c r="AC67" s="107">
        <f t="shared" si="23"/>
        <v>0</v>
      </c>
      <c r="AD67" s="107">
        <f t="shared" si="23"/>
        <v>-0.22828729955455324</v>
      </c>
      <c r="AE67" s="108">
        <f t="shared" si="23"/>
        <v>0.17643411385447644</v>
      </c>
      <c r="AF67" s="109">
        <f t="shared" si="23"/>
        <v>-1.3104668887282636E-2</v>
      </c>
    </row>
    <row r="68" spans="1:32">
      <c r="A68" s="31" t="s">
        <v>13</v>
      </c>
      <c r="B68" s="32">
        <v>6.0422682911890151</v>
      </c>
      <c r="C68" s="110">
        <v>5.9803400133538434</v>
      </c>
      <c r="D68" s="110">
        <v>5.4016918424757137</v>
      </c>
      <c r="E68" s="110">
        <v>4.4879845853884328</v>
      </c>
      <c r="F68" s="110">
        <v>2.362169453302462</v>
      </c>
      <c r="G68" s="110">
        <v>7.563791589406466</v>
      </c>
      <c r="H68" s="110">
        <v>7.8759195419935377</v>
      </c>
      <c r="I68" s="111">
        <v>7.8961906439136298</v>
      </c>
      <c r="J68" s="33">
        <v>47.610355961023103</v>
      </c>
      <c r="K68" s="60"/>
      <c r="L68" s="31" t="s">
        <v>13</v>
      </c>
      <c r="M68" s="105">
        <f t="shared" si="24"/>
        <v>0</v>
      </c>
      <c r="N68" s="110">
        <f t="shared" si="21"/>
        <v>0</v>
      </c>
      <c r="O68" s="110">
        <f t="shared" si="21"/>
        <v>0</v>
      </c>
      <c r="P68" s="110">
        <f t="shared" si="21"/>
        <v>0</v>
      </c>
      <c r="Q68" s="110">
        <f t="shared" si="21"/>
        <v>0</v>
      </c>
      <c r="R68" s="110">
        <f t="shared" si="21"/>
        <v>0</v>
      </c>
      <c r="S68" s="110">
        <f t="shared" si="21"/>
        <v>-2.9133080519935373</v>
      </c>
      <c r="T68" s="111">
        <f t="shared" si="21"/>
        <v>0.57714409795025556</v>
      </c>
      <c r="U68" s="33">
        <f t="shared" si="21"/>
        <v>-2.336163954043279</v>
      </c>
      <c r="W68" s="31" t="s">
        <v>13</v>
      </c>
      <c r="X68" s="106">
        <f t="shared" si="25"/>
        <v>0</v>
      </c>
      <c r="Y68" s="112">
        <f t="shared" si="22"/>
        <v>0</v>
      </c>
      <c r="Z68" s="112">
        <f t="shared" si="22"/>
        <v>0</v>
      </c>
      <c r="AA68" s="112">
        <f t="shared" si="23"/>
        <v>0</v>
      </c>
      <c r="AB68" s="112">
        <f t="shared" si="23"/>
        <v>0</v>
      </c>
      <c r="AC68" s="112">
        <f t="shared" si="23"/>
        <v>0</v>
      </c>
      <c r="AD68" s="112">
        <f t="shared" si="23"/>
        <v>-0.36990068733690062</v>
      </c>
      <c r="AE68" s="113">
        <f t="shared" si="23"/>
        <v>7.3091459410889126E-2</v>
      </c>
      <c r="AF68" s="109">
        <f t="shared" si="23"/>
        <v>-4.9068399235574149E-2</v>
      </c>
    </row>
    <row r="69" spans="1:32">
      <c r="A69" s="35" t="s">
        <v>14</v>
      </c>
      <c r="B69" s="36">
        <v>58.90974371392717</v>
      </c>
      <c r="C69" s="36">
        <v>49.046027471923757</v>
      </c>
      <c r="D69" s="42">
        <v>54.693348335261277</v>
      </c>
      <c r="E69" s="42">
        <v>52.86742325294906</v>
      </c>
      <c r="F69" s="42">
        <v>52.353895974017945</v>
      </c>
      <c r="G69" s="42">
        <v>56.505828417276298</v>
      </c>
      <c r="H69" s="42">
        <v>56.350819273837793</v>
      </c>
      <c r="I69" s="42">
        <v>51.362947997992165</v>
      </c>
      <c r="J69" s="36">
        <v>432.09003443718547</v>
      </c>
      <c r="K69" s="60"/>
      <c r="L69" s="35" t="s">
        <v>14</v>
      </c>
      <c r="M69" s="114">
        <f t="shared" si="24"/>
        <v>0</v>
      </c>
      <c r="N69" s="37">
        <f t="shared" si="21"/>
        <v>0</v>
      </c>
      <c r="O69" s="42">
        <f t="shared" si="21"/>
        <v>0</v>
      </c>
      <c r="P69" s="42">
        <f t="shared" si="21"/>
        <v>0</v>
      </c>
      <c r="Q69" s="42">
        <f t="shared" si="21"/>
        <v>0</v>
      </c>
      <c r="R69" s="42">
        <f t="shared" si="21"/>
        <v>0</v>
      </c>
      <c r="S69" s="42">
        <f t="shared" si="21"/>
        <v>-5.2261263314530026</v>
      </c>
      <c r="T69" s="42">
        <f t="shared" si="21"/>
        <v>7.6998786641537436</v>
      </c>
      <c r="U69" s="36">
        <f t="shared" si="21"/>
        <v>2.4737523327007125</v>
      </c>
      <c r="W69" s="35" t="s">
        <v>14</v>
      </c>
      <c r="X69" s="115">
        <f t="shared" si="25"/>
        <v>0</v>
      </c>
      <c r="Y69" s="116">
        <f t="shared" si="22"/>
        <v>0</v>
      </c>
      <c r="Z69" s="117">
        <f t="shared" si="22"/>
        <v>0</v>
      </c>
      <c r="AA69" s="117">
        <f t="shared" si="23"/>
        <v>0</v>
      </c>
      <c r="AB69" s="117">
        <f t="shared" si="23"/>
        <v>0</v>
      </c>
      <c r="AC69" s="117">
        <f t="shared" si="23"/>
        <v>0</v>
      </c>
      <c r="AD69" s="117">
        <f t="shared" si="23"/>
        <v>-9.2742685888142107E-2</v>
      </c>
      <c r="AE69" s="117">
        <f t="shared" si="23"/>
        <v>0.14991115121458254</v>
      </c>
      <c r="AF69" s="115">
        <f t="shared" si="23"/>
        <v>5.7250853654212917E-3</v>
      </c>
    </row>
    <row r="70" spans="1:32">
      <c r="A70" s="24" t="s">
        <v>15</v>
      </c>
      <c r="B70" s="28">
        <v>74.457897080844333</v>
      </c>
      <c r="C70" s="96">
        <v>66.975600698455921</v>
      </c>
      <c r="D70" s="96">
        <v>63.742720210966468</v>
      </c>
      <c r="E70" s="96">
        <v>64.30761576595124</v>
      </c>
      <c r="F70" s="96">
        <v>55.352881447172955</v>
      </c>
      <c r="G70" s="96">
        <v>62.218680131980086</v>
      </c>
      <c r="H70" s="96">
        <v>71.356891239986311</v>
      </c>
      <c r="I70" s="97">
        <v>69.898679249657619</v>
      </c>
      <c r="J70" s="30">
        <v>528.31096582501493</v>
      </c>
      <c r="K70" s="60"/>
      <c r="L70" s="24" t="s">
        <v>15</v>
      </c>
      <c r="M70" s="91">
        <f t="shared" si="24"/>
        <v>0</v>
      </c>
      <c r="N70" s="89">
        <f t="shared" si="21"/>
        <v>0</v>
      </c>
      <c r="O70" s="89">
        <f t="shared" si="21"/>
        <v>0</v>
      </c>
      <c r="P70" s="89">
        <f t="shared" si="21"/>
        <v>0</v>
      </c>
      <c r="Q70" s="89">
        <f t="shared" si="21"/>
        <v>0</v>
      </c>
      <c r="R70" s="89">
        <f t="shared" si="21"/>
        <v>0</v>
      </c>
      <c r="S70" s="89">
        <f t="shared" si="21"/>
        <v>-10.806687246041285</v>
      </c>
      <c r="T70" s="89">
        <f t="shared" si="21"/>
        <v>5.4651892336138985E-2</v>
      </c>
      <c r="U70" s="38">
        <f t="shared" si="21"/>
        <v>-10.752035353705196</v>
      </c>
      <c r="W70" s="24" t="s">
        <v>15</v>
      </c>
      <c r="X70" s="92">
        <f t="shared" si="25"/>
        <v>0</v>
      </c>
      <c r="Y70" s="93">
        <f t="shared" si="22"/>
        <v>0</v>
      </c>
      <c r="Z70" s="93">
        <f t="shared" si="22"/>
        <v>0</v>
      </c>
      <c r="AA70" s="93">
        <f t="shared" si="23"/>
        <v>0</v>
      </c>
      <c r="AB70" s="93">
        <f t="shared" si="23"/>
        <v>0</v>
      </c>
      <c r="AC70" s="93">
        <f t="shared" si="23"/>
        <v>0</v>
      </c>
      <c r="AD70" s="93">
        <f t="shared" si="23"/>
        <v>-0.15144560053347075</v>
      </c>
      <c r="AE70" s="93">
        <f t="shared" si="23"/>
        <v>7.8187303283569097E-4</v>
      </c>
      <c r="AF70" s="118">
        <f t="shared" si="23"/>
        <v>-2.0351717168911543E-2</v>
      </c>
    </row>
    <row r="71" spans="1:32">
      <c r="A71" s="24" t="s">
        <v>16</v>
      </c>
      <c r="B71" s="28">
        <v>6.9609215314251163</v>
      </c>
      <c r="C71" s="96">
        <v>17.829749641070684</v>
      </c>
      <c r="D71" s="96">
        <v>20.149457368618517</v>
      </c>
      <c r="E71" s="96">
        <v>18.213933331305544</v>
      </c>
      <c r="F71" s="96">
        <v>14.477828141909681</v>
      </c>
      <c r="G71" s="96">
        <v>15.873084177225584</v>
      </c>
      <c r="H71" s="96">
        <v>9.5609332204691828</v>
      </c>
      <c r="I71" s="97">
        <v>9.3149002169823536</v>
      </c>
      <c r="J71" s="30">
        <v>112.38080762900667</v>
      </c>
      <c r="K71" s="60"/>
      <c r="L71" s="24" t="s">
        <v>16</v>
      </c>
      <c r="M71" s="98">
        <f t="shared" si="24"/>
        <v>0</v>
      </c>
      <c r="N71" s="96">
        <f t="shared" si="21"/>
        <v>0</v>
      </c>
      <c r="O71" s="96">
        <f t="shared" si="21"/>
        <v>0</v>
      </c>
      <c r="P71" s="96">
        <f t="shared" si="21"/>
        <v>0</v>
      </c>
      <c r="Q71" s="96">
        <f t="shared" si="21"/>
        <v>0</v>
      </c>
      <c r="R71" s="96">
        <f t="shared" si="21"/>
        <v>0</v>
      </c>
      <c r="S71" s="96">
        <f t="shared" si="21"/>
        <v>7.4725930553853868</v>
      </c>
      <c r="T71" s="96">
        <f t="shared" si="21"/>
        <v>-1.1112080765558066</v>
      </c>
      <c r="U71" s="39">
        <f t="shared" si="21"/>
        <v>6.3613849788295767</v>
      </c>
      <c r="W71" s="24" t="s">
        <v>16</v>
      </c>
      <c r="X71" s="99">
        <f t="shared" si="25"/>
        <v>0</v>
      </c>
      <c r="Y71" s="100">
        <f t="shared" si="22"/>
        <v>0</v>
      </c>
      <c r="Z71" s="100">
        <f t="shared" si="22"/>
        <v>0</v>
      </c>
      <c r="AA71" s="100">
        <f t="shared" si="23"/>
        <v>0</v>
      </c>
      <c r="AB71" s="100">
        <f t="shared" si="23"/>
        <v>0</v>
      </c>
      <c r="AC71" s="100">
        <f t="shared" si="23"/>
        <v>0</v>
      </c>
      <c r="AD71" s="100">
        <f t="shared" si="23"/>
        <v>0.78157569800688187</v>
      </c>
      <c r="AE71" s="100">
        <f t="shared" si="23"/>
        <v>-0.11929361030941805</v>
      </c>
      <c r="AF71" s="119">
        <f t="shared" si="23"/>
        <v>5.6605617213838534E-2</v>
      </c>
    </row>
    <row r="72" spans="1:32">
      <c r="A72" s="24" t="s">
        <v>50</v>
      </c>
      <c r="B72" s="28">
        <v>1.7469063757041896</v>
      </c>
      <c r="C72" s="96">
        <v>2.8193558672914545</v>
      </c>
      <c r="D72" s="96">
        <v>2.3768240918003638</v>
      </c>
      <c r="E72" s="96">
        <v>2.0603842203338316</v>
      </c>
      <c r="F72" s="96">
        <v>1.5374842386796366</v>
      </c>
      <c r="G72" s="96">
        <v>1.8241832816244017</v>
      </c>
      <c r="H72" s="96">
        <v>1.614820986448209</v>
      </c>
      <c r="I72" s="97">
        <v>1.7989388845593905</v>
      </c>
      <c r="J72" s="30">
        <v>15.778897946441477</v>
      </c>
      <c r="K72" s="60"/>
      <c r="L72" s="24" t="s">
        <v>50</v>
      </c>
      <c r="M72" s="120">
        <f t="shared" si="24"/>
        <v>0</v>
      </c>
      <c r="N72" s="121">
        <f t="shared" si="21"/>
        <v>0</v>
      </c>
      <c r="O72" s="121">
        <f t="shared" si="21"/>
        <v>0</v>
      </c>
      <c r="P72" s="121">
        <f t="shared" si="21"/>
        <v>0</v>
      </c>
      <c r="Q72" s="121">
        <f t="shared" si="21"/>
        <v>0</v>
      </c>
      <c r="R72" s="121">
        <f t="shared" si="21"/>
        <v>0</v>
      </c>
      <c r="S72" s="121">
        <f t="shared" si="21"/>
        <v>0.25689242195593653</v>
      </c>
      <c r="T72" s="121">
        <f t="shared" si="21"/>
        <v>-0.67753694281181764</v>
      </c>
      <c r="U72" s="41">
        <f t="shared" si="21"/>
        <v>-0.42064452085588044</v>
      </c>
      <c r="W72" s="24" t="s">
        <v>50</v>
      </c>
      <c r="X72" s="122">
        <f t="shared" si="25"/>
        <v>0</v>
      </c>
      <c r="Y72" s="123">
        <f t="shared" si="22"/>
        <v>0</v>
      </c>
      <c r="Z72" s="123">
        <f t="shared" si="22"/>
        <v>0</v>
      </c>
      <c r="AA72" s="123">
        <f t="shared" si="23"/>
        <v>0</v>
      </c>
      <c r="AB72" s="123">
        <f t="shared" si="23"/>
        <v>0</v>
      </c>
      <c r="AC72" s="123">
        <f t="shared" si="23"/>
        <v>0</v>
      </c>
      <c r="AD72" s="123">
        <f t="shared" si="23"/>
        <v>0.15908414871481832</v>
      </c>
      <c r="AE72" s="123">
        <f t="shared" si="23"/>
        <v>-0.37663144013798167</v>
      </c>
      <c r="AF72" s="124">
        <f t="shared" si="23"/>
        <v>-2.6658675547790455E-2</v>
      </c>
    </row>
    <row r="73" spans="1:32">
      <c r="A73" s="35" t="s">
        <v>18</v>
      </c>
      <c r="B73" s="125">
        <v>83.165724987973647</v>
      </c>
      <c r="C73" s="126">
        <v>87.624706206818061</v>
      </c>
      <c r="D73" s="126">
        <v>86.269001671385354</v>
      </c>
      <c r="E73" s="126">
        <v>84.581933317590611</v>
      </c>
      <c r="F73" s="126">
        <v>71.368193827762269</v>
      </c>
      <c r="G73" s="126">
        <v>79.915947590830072</v>
      </c>
      <c r="H73" s="126">
        <v>82.532645446903715</v>
      </c>
      <c r="I73" s="127">
        <v>81.012518351199375</v>
      </c>
      <c r="J73" s="128">
        <v>656.47067140046317</v>
      </c>
      <c r="K73" s="60"/>
      <c r="L73" s="35" t="s">
        <v>18</v>
      </c>
      <c r="M73" s="114">
        <f t="shared" si="24"/>
        <v>0</v>
      </c>
      <c r="N73" s="42">
        <f t="shared" si="21"/>
        <v>0</v>
      </c>
      <c r="O73" s="36">
        <f t="shared" si="21"/>
        <v>0</v>
      </c>
      <c r="P73" s="129">
        <f t="shared" si="21"/>
        <v>0</v>
      </c>
      <c r="Q73" s="36">
        <f t="shared" si="21"/>
        <v>0</v>
      </c>
      <c r="R73" s="36">
        <f t="shared" si="21"/>
        <v>0</v>
      </c>
      <c r="S73" s="36">
        <f t="shared" si="21"/>
        <v>-3.0772017686999789</v>
      </c>
      <c r="T73" s="36">
        <f t="shared" si="21"/>
        <v>-1.7340931270314854</v>
      </c>
      <c r="U73" s="42">
        <f t="shared" si="21"/>
        <v>-4.8112948957316348</v>
      </c>
      <c r="W73" s="35" t="s">
        <v>18</v>
      </c>
      <c r="X73" s="115">
        <f t="shared" si="25"/>
        <v>0</v>
      </c>
      <c r="Y73" s="117">
        <f t="shared" si="22"/>
        <v>0</v>
      </c>
      <c r="Z73" s="115">
        <f t="shared" si="22"/>
        <v>0</v>
      </c>
      <c r="AA73" s="130">
        <f t="shared" si="23"/>
        <v>0</v>
      </c>
      <c r="AB73" s="115">
        <f t="shared" si="23"/>
        <v>0</v>
      </c>
      <c r="AC73" s="115">
        <f t="shared" si="23"/>
        <v>0</v>
      </c>
      <c r="AD73" s="115">
        <f t="shared" si="23"/>
        <v>-3.7284661748539928E-2</v>
      </c>
      <c r="AE73" s="115">
        <f t="shared" si="23"/>
        <v>-2.1405248995148816E-2</v>
      </c>
      <c r="AF73" s="117">
        <f t="shared" si="23"/>
        <v>-7.3290325148381644E-3</v>
      </c>
    </row>
    <row r="74" spans="1:32">
      <c r="A74" s="44" t="s">
        <v>19</v>
      </c>
      <c r="B74" s="28">
        <v>26.209332322393657</v>
      </c>
      <c r="C74" s="96">
        <v>22.938159138221966</v>
      </c>
      <c r="D74" s="96">
        <v>23.089063190052066</v>
      </c>
      <c r="E74" s="96">
        <v>21.811177386712416</v>
      </c>
      <c r="F74" s="96">
        <v>20.846755521426811</v>
      </c>
      <c r="G74" s="96">
        <v>19.389291812075953</v>
      </c>
      <c r="H74" s="96">
        <v>23.129697537669788</v>
      </c>
      <c r="I74" s="97">
        <v>23.237587929761744</v>
      </c>
      <c r="J74" s="30">
        <v>180.6510648383144</v>
      </c>
      <c r="K74" s="60"/>
      <c r="L74" s="44" t="s">
        <v>19</v>
      </c>
      <c r="M74" s="131">
        <f t="shared" si="24"/>
        <v>0</v>
      </c>
      <c r="N74" s="89">
        <f t="shared" si="21"/>
        <v>0</v>
      </c>
      <c r="O74" s="89">
        <f t="shared" si="21"/>
        <v>0</v>
      </c>
      <c r="P74" s="89">
        <f t="shared" si="21"/>
        <v>0</v>
      </c>
      <c r="Q74" s="89">
        <f t="shared" si="21"/>
        <v>0</v>
      </c>
      <c r="R74" s="89">
        <f t="shared" si="21"/>
        <v>0</v>
      </c>
      <c r="S74" s="89">
        <f t="shared" si="21"/>
        <v>-1.10095559688558</v>
      </c>
      <c r="T74" s="89">
        <f t="shared" si="21"/>
        <v>0.71099645457337957</v>
      </c>
      <c r="U74" s="45">
        <f t="shared" si="21"/>
        <v>-0.38995914231216489</v>
      </c>
      <c r="W74" s="44" t="s">
        <v>19</v>
      </c>
      <c r="X74" s="116">
        <f t="shared" si="25"/>
        <v>0</v>
      </c>
      <c r="Y74" s="93">
        <f t="shared" si="22"/>
        <v>0</v>
      </c>
      <c r="Z74" s="93">
        <f t="shared" si="22"/>
        <v>0</v>
      </c>
      <c r="AA74" s="93">
        <f t="shared" si="23"/>
        <v>0</v>
      </c>
      <c r="AB74" s="93">
        <f t="shared" si="23"/>
        <v>0</v>
      </c>
      <c r="AC74" s="93">
        <f t="shared" si="23"/>
        <v>0</v>
      </c>
      <c r="AD74" s="93">
        <f t="shared" si="23"/>
        <v>-4.7599221524299115E-2</v>
      </c>
      <c r="AE74" s="93">
        <f t="shared" si="23"/>
        <v>3.0596826861826076E-2</v>
      </c>
      <c r="AF74" s="132">
        <f t="shared" si="23"/>
        <v>-2.1586318500872639E-3</v>
      </c>
    </row>
    <row r="75" spans="1:32">
      <c r="A75" s="44" t="s">
        <v>20</v>
      </c>
      <c r="B75" s="28">
        <v>11.328369561292883</v>
      </c>
      <c r="C75" s="96">
        <v>11.675846238543599</v>
      </c>
      <c r="D75" s="96">
        <v>10.002202882059834</v>
      </c>
      <c r="E75" s="96">
        <v>10.616056794524701</v>
      </c>
      <c r="F75" s="96">
        <v>10.486042455044686</v>
      </c>
      <c r="G75" s="96">
        <v>9.3699988413102933</v>
      </c>
      <c r="H75" s="96">
        <v>8.0922746444912033</v>
      </c>
      <c r="I75" s="97">
        <v>8.1740823346561431</v>
      </c>
      <c r="J75" s="30">
        <v>79.74487375192335</v>
      </c>
      <c r="K75" s="60"/>
      <c r="L75" s="44" t="s">
        <v>20</v>
      </c>
      <c r="M75" s="98">
        <f t="shared" si="24"/>
        <v>0</v>
      </c>
      <c r="N75" s="96">
        <f t="shared" si="21"/>
        <v>0</v>
      </c>
      <c r="O75" s="96">
        <f t="shared" si="21"/>
        <v>0</v>
      </c>
      <c r="P75" s="96">
        <f t="shared" si="21"/>
        <v>0</v>
      </c>
      <c r="Q75" s="96">
        <f t="shared" si="21"/>
        <v>0</v>
      </c>
      <c r="R75" s="96">
        <f t="shared" si="21"/>
        <v>0</v>
      </c>
      <c r="S75" s="96">
        <f t="shared" si="21"/>
        <v>0.76696858974177573</v>
      </c>
      <c r="T75" s="96">
        <f t="shared" si="21"/>
        <v>4.8044330937131008E-2</v>
      </c>
      <c r="U75" s="45">
        <f t="shared" si="21"/>
        <v>0.81501292067889608</v>
      </c>
      <c r="W75" s="44" t="s">
        <v>20</v>
      </c>
      <c r="X75" s="99">
        <f t="shared" si="25"/>
        <v>0</v>
      </c>
      <c r="Y75" s="100">
        <f t="shared" si="22"/>
        <v>0</v>
      </c>
      <c r="Z75" s="100">
        <f t="shared" si="22"/>
        <v>0</v>
      </c>
      <c r="AA75" s="100">
        <f t="shared" si="23"/>
        <v>0</v>
      </c>
      <c r="AB75" s="100">
        <f t="shared" si="23"/>
        <v>0</v>
      </c>
      <c r="AC75" s="100">
        <f t="shared" si="23"/>
        <v>0</v>
      </c>
      <c r="AD75" s="100">
        <f t="shared" si="23"/>
        <v>9.4777874384662383E-2</v>
      </c>
      <c r="AE75" s="100">
        <f t="shared" si="23"/>
        <v>5.8776421584884947E-3</v>
      </c>
      <c r="AF75" s="132">
        <f t="shared" si="23"/>
        <v>1.0220254698932781E-2</v>
      </c>
    </row>
    <row r="76" spans="1:32">
      <c r="A76" s="44" t="s">
        <v>21</v>
      </c>
      <c r="B76" s="28">
        <v>11.104760029085051</v>
      </c>
      <c r="C76" s="96">
        <v>11.184708966980422</v>
      </c>
      <c r="D76" s="96">
        <v>9.4849883047308943</v>
      </c>
      <c r="E76" s="96">
        <v>10.810955515255813</v>
      </c>
      <c r="F76" s="96">
        <v>8.3192633359272783</v>
      </c>
      <c r="G76" s="96">
        <v>8.8948672046644415</v>
      </c>
      <c r="H76" s="96">
        <v>7.6131196317825456</v>
      </c>
      <c r="I76" s="97">
        <v>7.6900833730526799</v>
      </c>
      <c r="J76" s="30">
        <v>75.10274636147912</v>
      </c>
      <c r="K76" s="60"/>
      <c r="L76" s="44" t="s">
        <v>21</v>
      </c>
      <c r="M76" s="98">
        <f t="shared" si="24"/>
        <v>0</v>
      </c>
      <c r="N76" s="96">
        <f t="shared" si="21"/>
        <v>0</v>
      </c>
      <c r="O76" s="96">
        <f t="shared" si="21"/>
        <v>0</v>
      </c>
      <c r="P76" s="96">
        <f t="shared" si="21"/>
        <v>0</v>
      </c>
      <c r="Q76" s="96">
        <f t="shared" si="21"/>
        <v>0</v>
      </c>
      <c r="R76" s="96">
        <f t="shared" si="21"/>
        <v>0</v>
      </c>
      <c r="S76" s="96">
        <f t="shared" si="21"/>
        <v>2.1742563522651821</v>
      </c>
      <c r="T76" s="96">
        <f t="shared" si="21"/>
        <v>5.5787630884470474E-2</v>
      </c>
      <c r="U76" s="45">
        <f t="shared" si="21"/>
        <v>2.2300439831496561</v>
      </c>
      <c r="W76" s="44" t="s">
        <v>21</v>
      </c>
      <c r="X76" s="99">
        <f t="shared" si="25"/>
        <v>0</v>
      </c>
      <c r="Y76" s="100">
        <f t="shared" si="22"/>
        <v>0</v>
      </c>
      <c r="Z76" s="100">
        <f t="shared" si="22"/>
        <v>0</v>
      </c>
      <c r="AA76" s="100">
        <f t="shared" si="23"/>
        <v>0</v>
      </c>
      <c r="AB76" s="100">
        <f t="shared" si="23"/>
        <v>0</v>
      </c>
      <c r="AC76" s="100">
        <f t="shared" si="23"/>
        <v>0</v>
      </c>
      <c r="AD76" s="100">
        <f t="shared" si="23"/>
        <v>0.28559335166471028</v>
      </c>
      <c r="AE76" s="100">
        <f t="shared" si="23"/>
        <v>7.2544897341372825E-3</v>
      </c>
      <c r="AF76" s="132">
        <f t="shared" si="23"/>
        <v>2.969324147503434E-2</v>
      </c>
    </row>
    <row r="77" spans="1:32">
      <c r="A77" s="44" t="s">
        <v>22</v>
      </c>
      <c r="B77" s="28">
        <v>16.347336617915314</v>
      </c>
      <c r="C77" s="96">
        <v>20.15311856594996</v>
      </c>
      <c r="D77" s="96">
        <v>19.072746648950226</v>
      </c>
      <c r="E77" s="96">
        <v>19.426706039991952</v>
      </c>
      <c r="F77" s="96">
        <v>16.287948909929646</v>
      </c>
      <c r="G77" s="96">
        <v>17.993227621460402</v>
      </c>
      <c r="H77" s="96">
        <v>16.046536529642992</v>
      </c>
      <c r="I77" s="97">
        <v>16.769709306667703</v>
      </c>
      <c r="J77" s="30">
        <v>142.0973302405082</v>
      </c>
      <c r="K77" s="60"/>
      <c r="L77" s="44" t="s">
        <v>22</v>
      </c>
      <c r="M77" s="98">
        <f t="shared" si="24"/>
        <v>0</v>
      </c>
      <c r="N77" s="96">
        <f t="shared" si="21"/>
        <v>0</v>
      </c>
      <c r="O77" s="96">
        <f t="shared" si="21"/>
        <v>0</v>
      </c>
      <c r="P77" s="96">
        <f t="shared" si="21"/>
        <v>0</v>
      </c>
      <c r="Q77" s="96">
        <f t="shared" si="21"/>
        <v>0</v>
      </c>
      <c r="R77" s="96">
        <f t="shared" si="21"/>
        <v>0</v>
      </c>
      <c r="S77" s="96">
        <f t="shared" si="21"/>
        <v>1.4420699512180875</v>
      </c>
      <c r="T77" s="96">
        <f t="shared" si="21"/>
        <v>-0.97962151839649358</v>
      </c>
      <c r="U77" s="45">
        <f t="shared" si="21"/>
        <v>0.46244843282158854</v>
      </c>
      <c r="W77" s="44" t="s">
        <v>22</v>
      </c>
      <c r="X77" s="99">
        <f t="shared" si="25"/>
        <v>0</v>
      </c>
      <c r="Y77" s="100">
        <f t="shared" si="22"/>
        <v>0</v>
      </c>
      <c r="Z77" s="100">
        <f t="shared" si="22"/>
        <v>0</v>
      </c>
      <c r="AA77" s="100">
        <f t="shared" si="23"/>
        <v>0</v>
      </c>
      <c r="AB77" s="100">
        <f t="shared" si="23"/>
        <v>0</v>
      </c>
      <c r="AC77" s="100">
        <f t="shared" si="23"/>
        <v>0</v>
      </c>
      <c r="AD77" s="100">
        <f t="shared" si="23"/>
        <v>8.9867987933354432E-2</v>
      </c>
      <c r="AE77" s="100">
        <f t="shared" si="23"/>
        <v>-5.841612996875218E-2</v>
      </c>
      <c r="AF77" s="132">
        <f t="shared" si="23"/>
        <v>3.254448426574004E-3</v>
      </c>
    </row>
    <row r="78" spans="1:32">
      <c r="A78" s="44" t="s">
        <v>23</v>
      </c>
      <c r="B78" s="28">
        <v>0</v>
      </c>
      <c r="C78" s="96">
        <v>0</v>
      </c>
      <c r="D78" s="96">
        <v>0</v>
      </c>
      <c r="E78" s="96">
        <v>0</v>
      </c>
      <c r="F78" s="96">
        <v>0</v>
      </c>
      <c r="G78" s="96">
        <v>0</v>
      </c>
      <c r="H78" s="96">
        <v>0</v>
      </c>
      <c r="I78" s="97">
        <v>0</v>
      </c>
      <c r="J78" s="30">
        <v>0</v>
      </c>
      <c r="K78" s="60"/>
      <c r="L78" s="44" t="s">
        <v>23</v>
      </c>
      <c r="M78" s="98">
        <f t="shared" si="24"/>
        <v>0</v>
      </c>
      <c r="N78" s="96">
        <f t="shared" si="21"/>
        <v>0</v>
      </c>
      <c r="O78" s="96">
        <f t="shared" si="21"/>
        <v>0</v>
      </c>
      <c r="P78" s="96">
        <f t="shared" si="21"/>
        <v>0</v>
      </c>
      <c r="Q78" s="96">
        <f t="shared" si="21"/>
        <v>0</v>
      </c>
      <c r="R78" s="96">
        <f t="shared" si="21"/>
        <v>0</v>
      </c>
      <c r="S78" s="96">
        <f t="shared" si="21"/>
        <v>0</v>
      </c>
      <c r="T78" s="96">
        <f t="shared" si="21"/>
        <v>0</v>
      </c>
      <c r="U78" s="45">
        <f t="shared" si="21"/>
        <v>0</v>
      </c>
      <c r="W78" s="44" t="s">
        <v>23</v>
      </c>
      <c r="X78" s="99"/>
      <c r="Y78" s="100"/>
      <c r="Z78" s="100"/>
      <c r="AA78" s="100"/>
      <c r="AB78" s="100"/>
      <c r="AC78" s="100"/>
      <c r="AD78" s="100"/>
      <c r="AE78" s="100"/>
      <c r="AF78" s="132"/>
    </row>
    <row r="79" spans="1:32">
      <c r="A79" s="44" t="s">
        <v>24</v>
      </c>
      <c r="B79" s="28">
        <v>22.017823875429947</v>
      </c>
      <c r="C79" s="96">
        <v>15.304140957588958</v>
      </c>
      <c r="D79" s="96">
        <v>7.6095232981736762</v>
      </c>
      <c r="E79" s="96">
        <v>7.3565436901299615</v>
      </c>
      <c r="F79" s="96">
        <v>7.1983003788478719</v>
      </c>
      <c r="G79" s="96">
        <v>5.7577435675972923</v>
      </c>
      <c r="H79" s="96">
        <v>5.4463261880940204</v>
      </c>
      <c r="I79" s="97">
        <v>6.0397523294195645</v>
      </c>
      <c r="J79" s="30">
        <v>76.730154285281287</v>
      </c>
      <c r="K79" s="60"/>
      <c r="L79" s="44" t="s">
        <v>24</v>
      </c>
      <c r="M79" s="98">
        <f t="shared" si="24"/>
        <v>0</v>
      </c>
      <c r="N79" s="96">
        <f t="shared" si="21"/>
        <v>0</v>
      </c>
      <c r="O79" s="96">
        <f t="shared" si="21"/>
        <v>0</v>
      </c>
      <c r="P79" s="96">
        <f t="shared" si="21"/>
        <v>0</v>
      </c>
      <c r="Q79" s="96">
        <f t="shared" si="21"/>
        <v>0</v>
      </c>
      <c r="R79" s="96">
        <f t="shared" si="21"/>
        <v>0</v>
      </c>
      <c r="S79" s="96">
        <f t="shared" si="21"/>
        <v>0.95790428886367085</v>
      </c>
      <c r="T79" s="96">
        <f t="shared" si="21"/>
        <v>0.77526219180193845</v>
      </c>
      <c r="U79" s="45">
        <f t="shared" si="21"/>
        <v>1.7331664806656022</v>
      </c>
      <c r="W79" s="44" t="s">
        <v>24</v>
      </c>
      <c r="X79" s="99">
        <f t="shared" si="25"/>
        <v>0</v>
      </c>
      <c r="Y79" s="100">
        <f t="shared" si="22"/>
        <v>0</v>
      </c>
      <c r="Z79" s="100">
        <f t="shared" si="22"/>
        <v>0</v>
      </c>
      <c r="AA79" s="100">
        <f t="shared" si="23"/>
        <v>0</v>
      </c>
      <c r="AB79" s="100">
        <f t="shared" si="23"/>
        <v>0</v>
      </c>
      <c r="AC79" s="100">
        <f t="shared" si="23"/>
        <v>0</v>
      </c>
      <c r="AD79" s="100">
        <f t="shared" si="23"/>
        <v>0.17588081502677974</v>
      </c>
      <c r="AE79" s="100">
        <f t="shared" si="23"/>
        <v>0.12835993092392964</v>
      </c>
      <c r="AF79" s="132">
        <f t="shared" si="23"/>
        <v>2.2587814358116909E-2</v>
      </c>
    </row>
    <row r="80" spans="1:32">
      <c r="A80" s="31" t="s">
        <v>25</v>
      </c>
      <c r="B80" s="32">
        <v>4.6753146830143617</v>
      </c>
      <c r="C80" s="110">
        <v>4.7955023653020934</v>
      </c>
      <c r="D80" s="110">
        <v>4.6002012692389487</v>
      </c>
      <c r="E80" s="110">
        <v>4.0729298648316119</v>
      </c>
      <c r="F80" s="110">
        <v>3.5279613582706331</v>
      </c>
      <c r="G80" s="110">
        <v>2.5828458366134388</v>
      </c>
      <c r="H80" s="110">
        <v>2.7165299684688744</v>
      </c>
      <c r="I80" s="111">
        <v>2.7165299684688735</v>
      </c>
      <c r="J80" s="33">
        <v>29.687815314208834</v>
      </c>
      <c r="K80" s="60"/>
      <c r="L80" s="31" t="s">
        <v>25</v>
      </c>
      <c r="M80" s="105">
        <f t="shared" si="24"/>
        <v>0</v>
      </c>
      <c r="N80" s="110">
        <f t="shared" si="21"/>
        <v>0</v>
      </c>
      <c r="O80" s="110">
        <f t="shared" si="21"/>
        <v>0</v>
      </c>
      <c r="P80" s="110">
        <f t="shared" si="21"/>
        <v>0</v>
      </c>
      <c r="Q80" s="110">
        <f t="shared" si="21"/>
        <v>0</v>
      </c>
      <c r="R80" s="110">
        <f t="shared" si="21"/>
        <v>0</v>
      </c>
      <c r="S80" s="110">
        <f t="shared" si="21"/>
        <v>-0.45498604846887414</v>
      </c>
      <c r="T80" s="110">
        <f t="shared" si="21"/>
        <v>-0.63862284784113044</v>
      </c>
      <c r="U80" s="46">
        <f t="shared" si="21"/>
        <v>-1.0936088963100019</v>
      </c>
      <c r="W80" s="31" t="s">
        <v>25</v>
      </c>
      <c r="X80" s="106">
        <f t="shared" si="25"/>
        <v>0</v>
      </c>
      <c r="Y80" s="112">
        <f t="shared" si="22"/>
        <v>0</v>
      </c>
      <c r="Z80" s="112">
        <f t="shared" si="22"/>
        <v>0</v>
      </c>
      <c r="AA80" s="112">
        <f t="shared" si="23"/>
        <v>0</v>
      </c>
      <c r="AB80" s="112">
        <f t="shared" si="23"/>
        <v>0</v>
      </c>
      <c r="AC80" s="112">
        <f t="shared" si="23"/>
        <v>0</v>
      </c>
      <c r="AD80" s="112">
        <f t="shared" si="23"/>
        <v>-0.16748795476212591</v>
      </c>
      <c r="AE80" s="112">
        <f t="shared" si="23"/>
        <v>-0.23508772413840864</v>
      </c>
      <c r="AF80" s="133">
        <f t="shared" si="23"/>
        <v>-3.6836961047335526E-2</v>
      </c>
    </row>
    <row r="81" spans="1:32">
      <c r="A81" s="47" t="s">
        <v>26</v>
      </c>
      <c r="B81" s="36">
        <v>87.007622406116852</v>
      </c>
      <c r="C81" s="36">
        <v>81.255973867284908</v>
      </c>
      <c r="D81" s="42">
        <v>69.258524323966697</v>
      </c>
      <c r="E81" s="42">
        <v>70.021439426614847</v>
      </c>
      <c r="F81" s="42">
        <v>63.138310601176293</v>
      </c>
      <c r="G81" s="42">
        <v>61.405129047108382</v>
      </c>
      <c r="H81" s="42">
        <v>60.327954531680554</v>
      </c>
      <c r="I81" s="42">
        <v>61.911215273557836</v>
      </c>
      <c r="J81" s="36">
        <v>554.32616947750637</v>
      </c>
      <c r="K81" s="60"/>
      <c r="L81" s="47" t="s">
        <v>26</v>
      </c>
      <c r="M81" s="134">
        <f t="shared" si="24"/>
        <v>0</v>
      </c>
      <c r="N81" s="135">
        <f t="shared" si="21"/>
        <v>0</v>
      </c>
      <c r="O81" s="48">
        <f t="shared" si="21"/>
        <v>0</v>
      </c>
      <c r="P81" s="136">
        <f t="shared" si="21"/>
        <v>0</v>
      </c>
      <c r="Q81" s="48">
        <f t="shared" si="21"/>
        <v>0</v>
      </c>
      <c r="R81" s="48">
        <f t="shared" si="21"/>
        <v>0</v>
      </c>
      <c r="S81" s="48">
        <f t="shared" si="21"/>
        <v>4.2402435852031246</v>
      </c>
      <c r="T81" s="48">
        <f t="shared" si="21"/>
        <v>0.61046908980042502</v>
      </c>
      <c r="U81" s="48">
        <f t="shared" si="21"/>
        <v>4.8507126750035923</v>
      </c>
      <c r="W81" s="47" t="s">
        <v>26</v>
      </c>
      <c r="X81" s="137">
        <f t="shared" si="25"/>
        <v>0</v>
      </c>
      <c r="Y81" s="138">
        <f t="shared" si="22"/>
        <v>0</v>
      </c>
      <c r="Z81" s="137">
        <f t="shared" si="22"/>
        <v>0</v>
      </c>
      <c r="AA81" s="139">
        <f t="shared" si="23"/>
        <v>0</v>
      </c>
      <c r="AB81" s="137">
        <f t="shared" si="23"/>
        <v>0</v>
      </c>
      <c r="AC81" s="137">
        <f t="shared" si="23"/>
        <v>0</v>
      </c>
      <c r="AD81" s="137">
        <f t="shared" si="23"/>
        <v>7.0286546562363689E-2</v>
      </c>
      <c r="AE81" s="137">
        <f t="shared" si="23"/>
        <v>9.8603958443237872E-3</v>
      </c>
      <c r="AF81" s="137">
        <f t="shared" si="23"/>
        <v>8.7506470776505998E-3</v>
      </c>
    </row>
    <row r="82" spans="1:32">
      <c r="A82" s="44" t="s">
        <v>27</v>
      </c>
      <c r="B82" s="28">
        <v>18.549857431241513</v>
      </c>
      <c r="C82" s="96">
        <v>18.05425100424176</v>
      </c>
      <c r="D82" s="96">
        <v>20.799033579918355</v>
      </c>
      <c r="E82" s="96">
        <v>20.694473647863305</v>
      </c>
      <c r="F82" s="96">
        <v>15.242397975975646</v>
      </c>
      <c r="G82" s="96">
        <v>20.195943519033964</v>
      </c>
      <c r="H82" s="96">
        <v>29.417141949962794</v>
      </c>
      <c r="I82" s="97">
        <v>30.860854429388979</v>
      </c>
      <c r="J82" s="30">
        <v>173.81395353762633</v>
      </c>
      <c r="K82" s="60"/>
      <c r="L82" s="44" t="s">
        <v>27</v>
      </c>
      <c r="M82" s="140">
        <f t="shared" si="24"/>
        <v>0</v>
      </c>
      <c r="N82" s="89">
        <f t="shared" si="21"/>
        <v>0</v>
      </c>
      <c r="O82" s="89">
        <f t="shared" si="21"/>
        <v>0</v>
      </c>
      <c r="P82" s="89">
        <f t="shared" si="21"/>
        <v>0</v>
      </c>
      <c r="Q82" s="89">
        <f t="shared" si="21"/>
        <v>0</v>
      </c>
      <c r="R82" s="89">
        <f t="shared" si="21"/>
        <v>0</v>
      </c>
      <c r="S82" s="89">
        <f t="shared" si="21"/>
        <v>-5.9257802867066829</v>
      </c>
      <c r="T82" s="89">
        <f t="shared" si="21"/>
        <v>0.23529973878147104</v>
      </c>
      <c r="U82" s="50">
        <f t="shared" si="21"/>
        <v>-5.6904805479252332</v>
      </c>
      <c r="W82" s="44" t="s">
        <v>27</v>
      </c>
      <c r="X82" s="99">
        <f t="shared" si="25"/>
        <v>0</v>
      </c>
      <c r="Y82" s="93">
        <f t="shared" si="22"/>
        <v>0</v>
      </c>
      <c r="Z82" s="93">
        <f t="shared" si="22"/>
        <v>0</v>
      </c>
      <c r="AA82" s="93">
        <f t="shared" si="23"/>
        <v>0</v>
      </c>
      <c r="AB82" s="93">
        <f t="shared" si="23"/>
        <v>0</v>
      </c>
      <c r="AC82" s="93">
        <f t="shared" si="23"/>
        <v>0</v>
      </c>
      <c r="AD82" s="93">
        <f t="shared" si="23"/>
        <v>-0.20143970127302518</v>
      </c>
      <c r="AE82" s="93">
        <f t="shared" si="23"/>
        <v>7.6245373996318673E-3</v>
      </c>
      <c r="AF82" s="132">
        <f t="shared" si="23"/>
        <v>-3.2738916710121246E-2</v>
      </c>
    </row>
    <row r="83" spans="1:32">
      <c r="A83" s="44" t="s">
        <v>28</v>
      </c>
      <c r="B83" s="28">
        <v>2.1907267716833654</v>
      </c>
      <c r="C83" s="96">
        <v>2.0264105199283273</v>
      </c>
      <c r="D83" s="96">
        <v>2.8724304812012975</v>
      </c>
      <c r="E83" s="96">
        <v>3.5512451232174675</v>
      </c>
      <c r="F83" s="96">
        <v>3.819524062076495</v>
      </c>
      <c r="G83" s="96">
        <v>4.445673252970721</v>
      </c>
      <c r="H83" s="96">
        <v>4.0862905238963423</v>
      </c>
      <c r="I83" s="97">
        <v>4.3268833234039956</v>
      </c>
      <c r="J83" s="30">
        <v>27.319184058378013</v>
      </c>
      <c r="K83" s="60"/>
      <c r="L83" s="44" t="s">
        <v>28</v>
      </c>
      <c r="M83" s="140">
        <f t="shared" si="24"/>
        <v>0</v>
      </c>
      <c r="N83" s="96">
        <f t="shared" si="21"/>
        <v>0</v>
      </c>
      <c r="O83" s="96">
        <f t="shared" si="21"/>
        <v>0</v>
      </c>
      <c r="P83" s="96">
        <f t="shared" si="21"/>
        <v>0</v>
      </c>
      <c r="Q83" s="96">
        <f t="shared" si="21"/>
        <v>0</v>
      </c>
      <c r="R83" s="96">
        <f t="shared" si="21"/>
        <v>0</v>
      </c>
      <c r="S83" s="96">
        <f t="shared" si="21"/>
        <v>1.964310230549775</v>
      </c>
      <c r="T83" s="96">
        <f t="shared" si="21"/>
        <v>0.47545314459811205</v>
      </c>
      <c r="U83" s="50">
        <f t="shared" si="21"/>
        <v>2.43976337514788</v>
      </c>
      <c r="W83" s="44" t="s">
        <v>28</v>
      </c>
      <c r="X83" s="99">
        <f t="shared" si="25"/>
        <v>0</v>
      </c>
      <c r="Y83" s="100">
        <f t="shared" si="22"/>
        <v>0</v>
      </c>
      <c r="Z83" s="100">
        <f t="shared" si="22"/>
        <v>0</v>
      </c>
      <c r="AA83" s="100">
        <f t="shared" si="23"/>
        <v>0</v>
      </c>
      <c r="AB83" s="100">
        <f t="shared" si="23"/>
        <v>0</v>
      </c>
      <c r="AC83" s="100">
        <f t="shared" si="23"/>
        <v>0</v>
      </c>
      <c r="AD83" s="100">
        <f t="shared" si="23"/>
        <v>0.4807074335666115</v>
      </c>
      <c r="AE83" s="100">
        <f t="shared" si="23"/>
        <v>0.10988351408192562</v>
      </c>
      <c r="AF83" s="132">
        <f t="shared" si="23"/>
        <v>8.9305865429010658E-2</v>
      </c>
    </row>
    <row r="84" spans="1:32">
      <c r="A84" s="51" t="s">
        <v>29</v>
      </c>
      <c r="B84" s="28">
        <v>20.740584202924879</v>
      </c>
      <c r="C84" s="136">
        <v>20.08066152417009</v>
      </c>
      <c r="D84" s="136">
        <v>23.67146406111965</v>
      </c>
      <c r="E84" s="136">
        <v>24.245718771080774</v>
      </c>
      <c r="F84" s="136">
        <v>19.061922038052138</v>
      </c>
      <c r="G84" s="136">
        <v>24.641616772004685</v>
      </c>
      <c r="H84" s="136">
        <v>33.503432473859135</v>
      </c>
      <c r="I84" s="136">
        <v>35.18773775279297</v>
      </c>
      <c r="J84" s="37">
        <v>201.13313759600433</v>
      </c>
      <c r="K84" s="60"/>
      <c r="L84" s="51" t="s">
        <v>29</v>
      </c>
      <c r="M84" s="98">
        <f t="shared" si="24"/>
        <v>0</v>
      </c>
      <c r="N84" s="136">
        <f t="shared" si="21"/>
        <v>0</v>
      </c>
      <c r="O84" s="136">
        <f t="shared" si="21"/>
        <v>0</v>
      </c>
      <c r="P84" s="136">
        <f t="shared" si="21"/>
        <v>0</v>
      </c>
      <c r="Q84" s="136">
        <f t="shared" si="21"/>
        <v>0</v>
      </c>
      <c r="R84" s="136">
        <f t="shared" si="21"/>
        <v>0</v>
      </c>
      <c r="S84" s="136">
        <f t="shared" si="21"/>
        <v>-3.9614700561569052</v>
      </c>
      <c r="T84" s="136">
        <f t="shared" si="21"/>
        <v>0.71075288337959108</v>
      </c>
      <c r="U84" s="37">
        <f t="shared" si="21"/>
        <v>-3.2507171727773141</v>
      </c>
      <c r="W84" s="51" t="s">
        <v>29</v>
      </c>
      <c r="X84" s="99">
        <f t="shared" si="25"/>
        <v>0</v>
      </c>
      <c r="Y84" s="139">
        <f t="shared" si="22"/>
        <v>0</v>
      </c>
      <c r="Z84" s="139">
        <f t="shared" si="22"/>
        <v>0</v>
      </c>
      <c r="AA84" s="139">
        <f t="shared" si="23"/>
        <v>0</v>
      </c>
      <c r="AB84" s="139">
        <f t="shared" si="23"/>
        <v>0</v>
      </c>
      <c r="AC84" s="139">
        <f t="shared" si="23"/>
        <v>0</v>
      </c>
      <c r="AD84" s="139">
        <f t="shared" si="23"/>
        <v>-0.11824072232741585</v>
      </c>
      <c r="AE84" s="139">
        <f t="shared" si="23"/>
        <v>2.0198879745350388E-2</v>
      </c>
      <c r="AF84" s="116">
        <f t="shared" si="23"/>
        <v>-1.6162016918896273E-2</v>
      </c>
    </row>
    <row r="85" spans="1:32">
      <c r="A85" s="52" t="s">
        <v>30</v>
      </c>
      <c r="B85" s="48">
        <v>107.74820660904173</v>
      </c>
      <c r="C85" s="48">
        <v>101.33663539145499</v>
      </c>
      <c r="D85" s="48">
        <v>92.929988385086332</v>
      </c>
      <c r="E85" s="48">
        <v>94.267158197695608</v>
      </c>
      <c r="F85" s="48">
        <v>82.200232639228417</v>
      </c>
      <c r="G85" s="48">
        <v>86.04674581911307</v>
      </c>
      <c r="H85" s="48">
        <v>93.831387005539696</v>
      </c>
      <c r="I85" s="48">
        <v>97.098953026350813</v>
      </c>
      <c r="J85" s="48">
        <v>755.45930707351079</v>
      </c>
      <c r="K85" s="60"/>
      <c r="L85" s="52" t="s">
        <v>30</v>
      </c>
      <c r="M85" s="134">
        <f t="shared" si="24"/>
        <v>0</v>
      </c>
      <c r="N85" s="136">
        <f t="shared" si="21"/>
        <v>0</v>
      </c>
      <c r="O85" s="48">
        <f t="shared" si="21"/>
        <v>0</v>
      </c>
      <c r="P85" s="48">
        <f t="shared" si="21"/>
        <v>0</v>
      </c>
      <c r="Q85" s="48">
        <f t="shared" si="21"/>
        <v>0</v>
      </c>
      <c r="R85" s="48">
        <f t="shared" si="21"/>
        <v>0</v>
      </c>
      <c r="S85" s="48">
        <f t="shared" si="21"/>
        <v>0.27877352904620523</v>
      </c>
      <c r="T85" s="48">
        <f t="shared" si="21"/>
        <v>1.3212219731800019</v>
      </c>
      <c r="U85" s="48">
        <f t="shared" si="21"/>
        <v>1.5999955022260792</v>
      </c>
      <c r="W85" s="52" t="s">
        <v>30</v>
      </c>
      <c r="X85" s="137">
        <f t="shared" si="25"/>
        <v>0</v>
      </c>
      <c r="Y85" s="139">
        <f t="shared" si="22"/>
        <v>0</v>
      </c>
      <c r="Z85" s="137">
        <f t="shared" si="22"/>
        <v>0</v>
      </c>
      <c r="AA85" s="137">
        <f t="shared" si="23"/>
        <v>0</v>
      </c>
      <c r="AB85" s="137">
        <f t="shared" si="23"/>
        <v>0</v>
      </c>
      <c r="AC85" s="137">
        <f t="shared" si="23"/>
        <v>0</v>
      </c>
      <c r="AD85" s="137">
        <f t="shared" si="23"/>
        <v>2.9710050969378376E-3</v>
      </c>
      <c r="AE85" s="137">
        <f t="shared" si="23"/>
        <v>1.3606964153583071E-2</v>
      </c>
      <c r="AF85" s="137">
        <f t="shared" si="23"/>
        <v>2.1179109016793013E-3</v>
      </c>
    </row>
    <row r="86" spans="1:32">
      <c r="A86" s="141" t="s">
        <v>51</v>
      </c>
      <c r="B86" s="142">
        <v>0</v>
      </c>
      <c r="C86" s="143">
        <v>0</v>
      </c>
      <c r="D86" s="143">
        <v>4.5299961917520143E-2</v>
      </c>
      <c r="E86" s="143">
        <v>3.4231535273025041E-2</v>
      </c>
      <c r="F86" s="143">
        <v>3.450755040199556E-2</v>
      </c>
      <c r="G86" s="143">
        <v>7.6770102290739661E-2</v>
      </c>
      <c r="H86" s="143">
        <v>0.29880204480190414</v>
      </c>
      <c r="I86" s="144">
        <v>0.29009907262320789</v>
      </c>
      <c r="J86" s="145">
        <v>0.77971026730839255</v>
      </c>
      <c r="K86" s="146"/>
      <c r="L86" s="141" t="s">
        <v>51</v>
      </c>
      <c r="M86" s="147"/>
      <c r="N86" s="148"/>
      <c r="O86" s="54"/>
      <c r="P86" s="54"/>
      <c r="Q86" s="54"/>
      <c r="R86" s="54"/>
      <c r="S86" s="54"/>
      <c r="T86" s="54"/>
      <c r="U86" s="54"/>
      <c r="V86" s="149"/>
      <c r="W86" s="141" t="s">
        <v>51</v>
      </c>
      <c r="X86" s="150" t="e">
        <f t="shared" si="25"/>
        <v>#DIV/0!</v>
      </c>
      <c r="Y86" s="151" t="e">
        <f t="shared" si="25"/>
        <v>#DIV/0!</v>
      </c>
      <c r="Z86" s="151">
        <f t="shared" si="25"/>
        <v>0</v>
      </c>
      <c r="AA86" s="151">
        <f t="shared" si="25"/>
        <v>0</v>
      </c>
      <c r="AB86" s="151">
        <f t="shared" si="25"/>
        <v>0</v>
      </c>
      <c r="AC86" s="151">
        <f t="shared" si="25"/>
        <v>0</v>
      </c>
      <c r="AD86" s="151">
        <f t="shared" si="25"/>
        <v>0</v>
      </c>
      <c r="AE86" s="151">
        <f t="shared" si="25"/>
        <v>0</v>
      </c>
      <c r="AF86" s="152">
        <f t="shared" si="25"/>
        <v>0</v>
      </c>
    </row>
    <row r="87" spans="1:32">
      <c r="A87" s="55" t="s">
        <v>32</v>
      </c>
      <c r="B87" s="80">
        <v>249.82367531094255</v>
      </c>
      <c r="C87" s="80">
        <v>238.0073690701968</v>
      </c>
      <c r="D87" s="80">
        <v>233.89233839173298</v>
      </c>
      <c r="E87" s="80">
        <v>231.71651476823527</v>
      </c>
      <c r="F87" s="80">
        <v>205.92232244100865</v>
      </c>
      <c r="G87" s="80">
        <v>222.46852182721943</v>
      </c>
      <c r="H87" s="80">
        <v>232.71485172628118</v>
      </c>
      <c r="I87" s="80">
        <v>229.47441937554234</v>
      </c>
      <c r="J87" s="80">
        <v>1844.0200129111593</v>
      </c>
      <c r="K87" s="60"/>
      <c r="L87" s="55" t="s">
        <v>32</v>
      </c>
      <c r="M87" s="153">
        <f t="shared" ref="M87:U87" si="26">B37-B87</f>
        <v>0</v>
      </c>
      <c r="N87" s="56">
        <f t="shared" si="26"/>
        <v>0</v>
      </c>
      <c r="O87" s="56">
        <f t="shared" si="26"/>
        <v>0</v>
      </c>
      <c r="P87" s="56">
        <f t="shared" si="26"/>
        <v>0</v>
      </c>
      <c r="Q87" s="56">
        <f t="shared" si="26"/>
        <v>0</v>
      </c>
      <c r="R87" s="56">
        <f t="shared" si="26"/>
        <v>0</v>
      </c>
      <c r="S87" s="56">
        <f t="shared" si="26"/>
        <v>-8.0245545711067336</v>
      </c>
      <c r="T87" s="56">
        <f t="shared" si="26"/>
        <v>7.28700751030226</v>
      </c>
      <c r="U87" s="56">
        <f t="shared" si="26"/>
        <v>-0.73754706080421784</v>
      </c>
      <c r="W87" s="55" t="s">
        <v>32</v>
      </c>
      <c r="X87" s="154">
        <f t="shared" si="25"/>
        <v>0</v>
      </c>
      <c r="Y87" s="154">
        <f t="shared" si="22"/>
        <v>0</v>
      </c>
      <c r="Z87" s="154">
        <f t="shared" si="22"/>
        <v>0</v>
      </c>
      <c r="AA87" s="154">
        <f t="shared" si="23"/>
        <v>0</v>
      </c>
      <c r="AB87" s="154">
        <f t="shared" si="23"/>
        <v>0</v>
      </c>
      <c r="AC87" s="154">
        <f t="shared" si="23"/>
        <v>0</v>
      </c>
      <c r="AD87" s="154">
        <f t="shared" si="23"/>
        <v>-3.4482348296984502E-2</v>
      </c>
      <c r="AE87" s="154">
        <f t="shared" si="23"/>
        <v>3.1755206223560963E-2</v>
      </c>
      <c r="AF87" s="154">
        <f t="shared" si="23"/>
        <v>-3.9996695027178712E-4</v>
      </c>
    </row>
    <row r="88" spans="1:32">
      <c r="A88" s="57" t="s">
        <v>33</v>
      </c>
      <c r="B88" s="28">
        <v>0</v>
      </c>
      <c r="C88" s="96">
        <v>0</v>
      </c>
      <c r="D88" s="96">
        <v>0</v>
      </c>
      <c r="E88" s="96">
        <v>0</v>
      </c>
      <c r="F88" s="96">
        <v>0</v>
      </c>
      <c r="G88" s="96">
        <v>0</v>
      </c>
      <c r="H88" s="96">
        <v>0</v>
      </c>
      <c r="I88" s="97">
        <v>0</v>
      </c>
      <c r="J88" s="30">
        <v>0</v>
      </c>
      <c r="K88" s="60"/>
      <c r="L88" s="57" t="s">
        <v>33</v>
      </c>
      <c r="M88" s="155"/>
      <c r="N88" s="156"/>
      <c r="O88" s="157"/>
      <c r="P88" s="156"/>
      <c r="Q88" s="156"/>
      <c r="R88" s="156"/>
      <c r="S88" s="156"/>
      <c r="T88" s="156"/>
      <c r="U88" s="59"/>
      <c r="W88" s="57" t="s">
        <v>33</v>
      </c>
      <c r="X88" s="158"/>
      <c r="Y88" s="158"/>
      <c r="Z88" s="159"/>
      <c r="AA88" s="158"/>
      <c r="AB88" s="158"/>
      <c r="AC88" s="158"/>
      <c r="AD88" s="158"/>
      <c r="AE88" s="158"/>
      <c r="AF88" s="160"/>
    </row>
    <row r="89" spans="1:32">
      <c r="A89" s="161" t="s">
        <v>34</v>
      </c>
      <c r="B89" s="25">
        <v>45.611391716548759</v>
      </c>
      <c r="C89" s="89">
        <v>46.262841493911473</v>
      </c>
      <c r="D89" s="89">
        <v>45.785909624236062</v>
      </c>
      <c r="E89" s="89">
        <v>62.568241772132012</v>
      </c>
      <c r="F89" s="89">
        <v>65.247020406474832</v>
      </c>
      <c r="G89" s="89">
        <v>46.531728488938462</v>
      </c>
      <c r="H89" s="89">
        <v>46.240965241644027</v>
      </c>
      <c r="I89" s="90">
        <v>46.138362504778691</v>
      </c>
      <c r="J89" s="27">
        <v>404.38646124866432</v>
      </c>
      <c r="K89" s="60"/>
      <c r="L89" s="44" t="s">
        <v>34</v>
      </c>
      <c r="M89" s="131">
        <f t="shared" ref="M89:U94" si="27">B39-B89</f>
        <v>0</v>
      </c>
      <c r="N89" s="96">
        <f t="shared" si="27"/>
        <v>0</v>
      </c>
      <c r="O89" s="96">
        <f t="shared" si="27"/>
        <v>0</v>
      </c>
      <c r="P89" s="96">
        <f t="shared" si="27"/>
        <v>0</v>
      </c>
      <c r="Q89" s="96">
        <f t="shared" si="27"/>
        <v>0</v>
      </c>
      <c r="R89" s="96">
        <f t="shared" si="27"/>
        <v>0</v>
      </c>
      <c r="S89" s="96">
        <f t="shared" si="27"/>
        <v>18.078446736177561</v>
      </c>
      <c r="T89" s="162">
        <f t="shared" si="27"/>
        <v>0.24329128516983189</v>
      </c>
      <c r="U89" s="61">
        <f t="shared" si="27"/>
        <v>18.321738021347414</v>
      </c>
      <c r="W89" s="44" t="s">
        <v>34</v>
      </c>
      <c r="X89" s="116">
        <f t="shared" si="25"/>
        <v>0</v>
      </c>
      <c r="Y89" s="100">
        <f t="shared" si="22"/>
        <v>0</v>
      </c>
      <c r="Z89" s="100">
        <f t="shared" si="22"/>
        <v>0</v>
      </c>
      <c r="AA89" s="100">
        <f t="shared" si="23"/>
        <v>0</v>
      </c>
      <c r="AB89" s="100">
        <f t="shared" si="23"/>
        <v>0</v>
      </c>
      <c r="AC89" s="100">
        <f t="shared" si="23"/>
        <v>0</v>
      </c>
      <c r="AD89" s="100">
        <f t="shared" si="23"/>
        <v>0.39096170769152416</v>
      </c>
      <c r="AE89" s="163">
        <f t="shared" si="23"/>
        <v>5.2730801866805194E-3</v>
      </c>
      <c r="AF89" s="132">
        <f t="shared" si="23"/>
        <v>4.5307496113429616E-2</v>
      </c>
    </row>
    <row r="90" spans="1:32">
      <c r="A90" s="161" t="s">
        <v>35</v>
      </c>
      <c r="B90" s="28">
        <v>23.969414943946663</v>
      </c>
      <c r="C90" s="96">
        <v>25.962727998818615</v>
      </c>
      <c r="D90" s="96">
        <v>26.15442098891193</v>
      </c>
      <c r="E90" s="96">
        <v>35.651465541592316</v>
      </c>
      <c r="F90" s="96">
        <v>43.898458352259198</v>
      </c>
      <c r="G90" s="96">
        <v>30.325671049044505</v>
      </c>
      <c r="H90" s="96">
        <v>26.148149619404727</v>
      </c>
      <c r="I90" s="97">
        <v>26.347749728846068</v>
      </c>
      <c r="J90" s="30">
        <v>238.45805822282406</v>
      </c>
      <c r="K90" s="60"/>
      <c r="L90" s="44" t="s">
        <v>35</v>
      </c>
      <c r="M90" s="98">
        <f t="shared" si="27"/>
        <v>0</v>
      </c>
      <c r="N90" s="96">
        <f t="shared" si="27"/>
        <v>0</v>
      </c>
      <c r="O90" s="96">
        <f t="shared" si="27"/>
        <v>0</v>
      </c>
      <c r="P90" s="96">
        <f t="shared" si="27"/>
        <v>0</v>
      </c>
      <c r="Q90" s="96">
        <f t="shared" si="27"/>
        <v>0</v>
      </c>
      <c r="R90" s="96">
        <f t="shared" si="27"/>
        <v>0</v>
      </c>
      <c r="S90" s="96">
        <f t="shared" si="27"/>
        <v>-2.5586820094047305</v>
      </c>
      <c r="T90" s="162">
        <f t="shared" si="27"/>
        <v>7.5073276817736101</v>
      </c>
      <c r="U90" s="61">
        <f t="shared" si="27"/>
        <v>4.9486456723688264</v>
      </c>
      <c r="W90" s="44" t="s">
        <v>35</v>
      </c>
      <c r="X90" s="99">
        <f t="shared" si="25"/>
        <v>0</v>
      </c>
      <c r="Y90" s="100">
        <f t="shared" si="22"/>
        <v>0</v>
      </c>
      <c r="Z90" s="100">
        <f t="shared" si="22"/>
        <v>0</v>
      </c>
      <c r="AA90" s="100">
        <f t="shared" si="23"/>
        <v>0</v>
      </c>
      <c r="AB90" s="100">
        <f t="shared" si="23"/>
        <v>0</v>
      </c>
      <c r="AC90" s="100">
        <f t="shared" si="23"/>
        <v>0</v>
      </c>
      <c r="AD90" s="100">
        <f t="shared" si="23"/>
        <v>-9.7853272474237127E-2</v>
      </c>
      <c r="AE90" s="163">
        <f t="shared" si="23"/>
        <v>0.28493240443810769</v>
      </c>
      <c r="AF90" s="132">
        <f t="shared" si="23"/>
        <v>2.0752687953806234E-2</v>
      </c>
    </row>
    <row r="91" spans="1:32">
      <c r="A91" s="161" t="s">
        <v>36</v>
      </c>
      <c r="B91" s="28">
        <v>10.287703452901383</v>
      </c>
      <c r="C91" s="96">
        <v>7.6550627763467274</v>
      </c>
      <c r="D91" s="96">
        <v>5.5242240460861476</v>
      </c>
      <c r="E91" s="96">
        <v>5.43259078857802</v>
      </c>
      <c r="F91" s="96">
        <v>6.1915464671932536</v>
      </c>
      <c r="G91" s="96">
        <v>7.241620470310191</v>
      </c>
      <c r="H91" s="96">
        <v>7.3632525521654362</v>
      </c>
      <c r="I91" s="97">
        <v>6.8720196538791143</v>
      </c>
      <c r="J91" s="30">
        <v>56.568020207460265</v>
      </c>
      <c r="K91" s="60"/>
      <c r="L91" s="44" t="s">
        <v>36</v>
      </c>
      <c r="M91" s="98">
        <f t="shared" si="27"/>
        <v>0</v>
      </c>
      <c r="N91" s="96">
        <f t="shared" si="27"/>
        <v>0</v>
      </c>
      <c r="O91" s="96">
        <f t="shared" si="27"/>
        <v>0</v>
      </c>
      <c r="P91" s="96">
        <f t="shared" si="27"/>
        <v>0</v>
      </c>
      <c r="Q91" s="96">
        <f t="shared" si="27"/>
        <v>0</v>
      </c>
      <c r="R91" s="96">
        <f t="shared" si="27"/>
        <v>0</v>
      </c>
      <c r="S91" s="96">
        <f t="shared" si="27"/>
        <v>-4.1516619321654371</v>
      </c>
      <c r="T91" s="162">
        <f t="shared" si="27"/>
        <v>-3.4288585917950698E-2</v>
      </c>
      <c r="U91" s="61">
        <f t="shared" si="27"/>
        <v>-4.1859505180833736</v>
      </c>
      <c r="W91" s="44" t="s">
        <v>36</v>
      </c>
      <c r="X91" s="99">
        <f t="shared" si="25"/>
        <v>0</v>
      </c>
      <c r="Y91" s="100">
        <f t="shared" si="22"/>
        <v>0</v>
      </c>
      <c r="Z91" s="100">
        <f t="shared" si="22"/>
        <v>0</v>
      </c>
      <c r="AA91" s="100">
        <f t="shared" si="23"/>
        <v>0</v>
      </c>
      <c r="AB91" s="100">
        <f t="shared" si="23"/>
        <v>0</v>
      </c>
      <c r="AC91" s="100">
        <f t="shared" si="23"/>
        <v>0</v>
      </c>
      <c r="AD91" s="100">
        <f t="shared" si="23"/>
        <v>-0.56383532993778518</v>
      </c>
      <c r="AE91" s="163">
        <f t="shared" si="23"/>
        <v>-4.9895936922408962E-3</v>
      </c>
      <c r="AF91" s="132">
        <f t="shared" si="23"/>
        <v>-7.3998533141722445E-2</v>
      </c>
    </row>
    <row r="92" spans="1:32">
      <c r="A92" s="164" t="s">
        <v>37</v>
      </c>
      <c r="B92" s="28">
        <v>5.2367861733386496</v>
      </c>
      <c r="C92" s="121">
        <v>5.3219825144141693</v>
      </c>
      <c r="D92" s="121">
        <v>7.4744254230331988</v>
      </c>
      <c r="E92" s="121">
        <v>7.3555017463953076</v>
      </c>
      <c r="F92" s="121">
        <v>7.3087005479083311</v>
      </c>
      <c r="G92" s="121">
        <v>7.0657311968317167</v>
      </c>
      <c r="H92" s="121">
        <v>7.2126306485135867</v>
      </c>
      <c r="I92" s="165">
        <v>7.2126306526770643</v>
      </c>
      <c r="J92" s="166">
        <v>54.188388903112021</v>
      </c>
      <c r="K92" s="60"/>
      <c r="L92" s="62" t="s">
        <v>37</v>
      </c>
      <c r="M92" s="98">
        <f t="shared" si="27"/>
        <v>0</v>
      </c>
      <c r="N92" s="121">
        <f t="shared" si="27"/>
        <v>0</v>
      </c>
      <c r="O92" s="121">
        <f t="shared" si="27"/>
        <v>0</v>
      </c>
      <c r="P92" s="121">
        <f t="shared" si="27"/>
        <v>0</v>
      </c>
      <c r="Q92" s="121">
        <f t="shared" si="27"/>
        <v>0</v>
      </c>
      <c r="R92" s="121">
        <f t="shared" si="27"/>
        <v>0</v>
      </c>
      <c r="S92" s="121">
        <f t="shared" si="27"/>
        <v>-9.9234648513586876E-2</v>
      </c>
      <c r="T92" s="167">
        <f t="shared" si="27"/>
        <v>6.0817159046235858E-2</v>
      </c>
      <c r="U92" s="63">
        <f t="shared" si="27"/>
        <v>-3.8417489467349242E-2</v>
      </c>
      <c r="W92" s="62" t="s">
        <v>37</v>
      </c>
      <c r="X92" s="99">
        <f t="shared" si="25"/>
        <v>0</v>
      </c>
      <c r="Y92" s="123">
        <f t="shared" si="22"/>
        <v>0</v>
      </c>
      <c r="Z92" s="123">
        <f t="shared" si="22"/>
        <v>0</v>
      </c>
      <c r="AA92" s="123">
        <f t="shared" si="23"/>
        <v>0</v>
      </c>
      <c r="AB92" s="123">
        <f t="shared" si="23"/>
        <v>0</v>
      </c>
      <c r="AC92" s="123">
        <f t="shared" si="23"/>
        <v>0</v>
      </c>
      <c r="AD92" s="123">
        <f t="shared" si="23"/>
        <v>-1.3758454210328603E-2</v>
      </c>
      <c r="AE92" s="168">
        <f t="shared" si="23"/>
        <v>8.4320356850191343E-3</v>
      </c>
      <c r="AF92" s="169">
        <f t="shared" si="23"/>
        <v>-7.0896164741194104E-4</v>
      </c>
    </row>
    <row r="93" spans="1:32">
      <c r="A93" s="64" t="s">
        <v>38</v>
      </c>
      <c r="B93" s="65">
        <v>85.105296286735467</v>
      </c>
      <c r="C93" s="65">
        <v>85.202614783490986</v>
      </c>
      <c r="D93" s="170">
        <v>84.938980082267349</v>
      </c>
      <c r="E93" s="65">
        <v>111.00779984869767</v>
      </c>
      <c r="F93" s="65">
        <v>122.64572577383562</v>
      </c>
      <c r="G93" s="65">
        <v>91.164751205124873</v>
      </c>
      <c r="H93" s="65">
        <v>86.964998061727769</v>
      </c>
      <c r="I93" s="65">
        <v>86.570762540180922</v>
      </c>
      <c r="J93" s="65">
        <v>753.60092858206076</v>
      </c>
      <c r="K93" s="60"/>
      <c r="L93" s="64" t="s">
        <v>38</v>
      </c>
      <c r="M93" s="171">
        <f t="shared" si="27"/>
        <v>0</v>
      </c>
      <c r="N93" s="66">
        <f t="shared" si="27"/>
        <v>0</v>
      </c>
      <c r="O93" s="170">
        <f t="shared" si="27"/>
        <v>0</v>
      </c>
      <c r="P93" s="65">
        <f t="shared" si="27"/>
        <v>0</v>
      </c>
      <c r="Q93" s="65">
        <f t="shared" si="27"/>
        <v>0</v>
      </c>
      <c r="R93" s="65">
        <f t="shared" si="27"/>
        <v>0</v>
      </c>
      <c r="S93" s="65">
        <f t="shared" si="27"/>
        <v>11.268868146093808</v>
      </c>
      <c r="T93" s="65">
        <f t="shared" si="27"/>
        <v>7.7771475400717378</v>
      </c>
      <c r="U93" s="66">
        <f t="shared" si="27"/>
        <v>19.046015686165447</v>
      </c>
      <c r="W93" s="64" t="s">
        <v>38</v>
      </c>
      <c r="X93" s="160">
        <f t="shared" si="25"/>
        <v>0</v>
      </c>
      <c r="Y93" s="172">
        <f t="shared" si="22"/>
        <v>0</v>
      </c>
      <c r="Z93" s="173">
        <f t="shared" si="22"/>
        <v>0</v>
      </c>
      <c r="AA93" s="174">
        <f t="shared" si="23"/>
        <v>0</v>
      </c>
      <c r="AB93" s="174">
        <f t="shared" si="23"/>
        <v>0</v>
      </c>
      <c r="AC93" s="174">
        <f t="shared" si="23"/>
        <v>0</v>
      </c>
      <c r="AD93" s="174">
        <f t="shared" si="23"/>
        <v>0.12957935258154279</v>
      </c>
      <c r="AE93" s="174">
        <f t="shared" si="23"/>
        <v>8.983572873650103E-2</v>
      </c>
      <c r="AF93" s="172">
        <f t="shared" si="23"/>
        <v>2.5273344238045874E-2</v>
      </c>
    </row>
    <row r="94" spans="1:32" ht="24.75">
      <c r="A94" s="64" t="s">
        <v>39</v>
      </c>
      <c r="B94" s="59">
        <v>334.92897159767807</v>
      </c>
      <c r="C94" s="59">
        <v>323.20998385368779</v>
      </c>
      <c r="D94" s="59">
        <v>318.83131847400028</v>
      </c>
      <c r="E94" s="59">
        <v>342.72431461693293</v>
      </c>
      <c r="F94" s="59">
        <v>328.56804821484428</v>
      </c>
      <c r="G94" s="59">
        <v>313.63327303234433</v>
      </c>
      <c r="H94" s="59">
        <v>319.67984978800899</v>
      </c>
      <c r="I94" s="59">
        <v>316.04518191572328</v>
      </c>
      <c r="J94" s="59">
        <v>2597.62094149322</v>
      </c>
      <c r="K94" s="60"/>
      <c r="L94" s="64" t="s">
        <v>39</v>
      </c>
      <c r="M94" s="171">
        <f t="shared" si="27"/>
        <v>0</v>
      </c>
      <c r="N94" s="59">
        <f t="shared" si="27"/>
        <v>0</v>
      </c>
      <c r="O94" s="59">
        <f t="shared" si="27"/>
        <v>0</v>
      </c>
      <c r="P94" s="59">
        <f t="shared" si="27"/>
        <v>0</v>
      </c>
      <c r="Q94" s="59">
        <f t="shared" si="27"/>
        <v>0</v>
      </c>
      <c r="R94" s="59">
        <f t="shared" si="27"/>
        <v>0</v>
      </c>
      <c r="S94" s="59">
        <f t="shared" si="27"/>
        <v>3.244313574987018</v>
      </c>
      <c r="T94" s="59">
        <f t="shared" si="27"/>
        <v>15.064155050373984</v>
      </c>
      <c r="U94" s="59">
        <f t="shared" si="27"/>
        <v>18.308468625361456</v>
      </c>
      <c r="W94" s="64" t="s">
        <v>39</v>
      </c>
      <c r="X94" s="160">
        <f t="shared" si="25"/>
        <v>0</v>
      </c>
      <c r="Y94" s="160">
        <f t="shared" si="22"/>
        <v>0</v>
      </c>
      <c r="Z94" s="160">
        <f t="shared" si="22"/>
        <v>0</v>
      </c>
      <c r="AA94" s="160">
        <f t="shared" si="23"/>
        <v>0</v>
      </c>
      <c r="AB94" s="160">
        <f t="shared" si="23"/>
        <v>0</v>
      </c>
      <c r="AC94" s="160">
        <f t="shared" si="23"/>
        <v>0</v>
      </c>
      <c r="AD94" s="160">
        <f t="shared" si="23"/>
        <v>1.0148633319048533E-2</v>
      </c>
      <c r="AE94" s="160">
        <f t="shared" si="23"/>
        <v>4.7664561627112537E-2</v>
      </c>
      <c r="AF94" s="160">
        <f t="shared" si="23"/>
        <v>7.0481679343241633E-3</v>
      </c>
    </row>
    <row r="95" spans="1:32">
      <c r="B95" s="67"/>
      <c r="C95" s="67"/>
      <c r="D95" s="67"/>
      <c r="E95" s="67"/>
      <c r="F95" s="67"/>
      <c r="G95" s="67"/>
      <c r="H95" s="67"/>
      <c r="I95" s="67"/>
      <c r="J95" s="67"/>
      <c r="K95" s="60"/>
      <c r="M95" s="67"/>
      <c r="N95" s="60"/>
      <c r="O95" s="81"/>
      <c r="P95" s="60"/>
      <c r="Q95" s="60"/>
      <c r="R95" s="60"/>
      <c r="S95" s="60"/>
      <c r="T95" s="60"/>
      <c r="U95" s="60"/>
      <c r="X95" s="67"/>
      <c r="Y95" s="60"/>
      <c r="Z95" s="81"/>
      <c r="AA95" s="60"/>
      <c r="AB95" s="60"/>
      <c r="AC95" s="60"/>
      <c r="AD95" s="60"/>
      <c r="AE95" s="60"/>
      <c r="AF95" s="60"/>
    </row>
    <row r="96" spans="1:32">
      <c r="A96" s="68" t="s">
        <v>40</v>
      </c>
      <c r="B96" s="175"/>
      <c r="C96" s="70"/>
      <c r="D96" s="70"/>
      <c r="E96" s="70"/>
      <c r="F96" s="70"/>
      <c r="G96" s="70"/>
      <c r="H96" s="70"/>
      <c r="I96" s="70"/>
      <c r="J96" s="71"/>
      <c r="K96" s="60"/>
      <c r="L96" s="68" t="s">
        <v>40</v>
      </c>
      <c r="M96" s="58"/>
      <c r="N96" s="70"/>
      <c r="O96" s="70"/>
      <c r="P96" s="70"/>
      <c r="Q96" s="70"/>
      <c r="R96" s="70"/>
      <c r="S96" s="70"/>
      <c r="T96" s="70"/>
      <c r="U96" s="71"/>
      <c r="W96" s="176" t="s">
        <v>40</v>
      </c>
      <c r="X96" s="69"/>
      <c r="Y96" s="177"/>
      <c r="Z96" s="177"/>
      <c r="AA96" s="177"/>
      <c r="AB96" s="177"/>
      <c r="AC96" s="177"/>
      <c r="AD96" s="177"/>
      <c r="AE96" s="177"/>
      <c r="AF96" s="178"/>
    </row>
    <row r="97" spans="1:32">
      <c r="A97" s="72" t="s">
        <v>41</v>
      </c>
      <c r="B97" s="179">
        <v>0</v>
      </c>
      <c r="C97" s="179">
        <v>0</v>
      </c>
      <c r="D97" s="179">
        <v>0.2454300386913697</v>
      </c>
      <c r="E97" s="179">
        <v>0.46792283960498077</v>
      </c>
      <c r="F97" s="179">
        <v>0.41917060890812491</v>
      </c>
      <c r="G97" s="179">
        <v>0.30167578453766714</v>
      </c>
      <c r="H97" s="179">
        <v>0</v>
      </c>
      <c r="I97" s="179">
        <v>0</v>
      </c>
      <c r="J97" s="74">
        <f>SUM(B97:I97)</f>
        <v>1.4341992717421426</v>
      </c>
      <c r="K97" s="60"/>
      <c r="L97" s="72" t="s">
        <v>41</v>
      </c>
      <c r="M97" s="179">
        <f t="shared" ref="M97:U102" si="28">B47-B97</f>
        <v>0</v>
      </c>
      <c r="N97" s="179">
        <f t="shared" si="28"/>
        <v>0</v>
      </c>
      <c r="O97" s="179">
        <f t="shared" si="28"/>
        <v>0</v>
      </c>
      <c r="P97" s="179">
        <f t="shared" si="28"/>
        <v>0</v>
      </c>
      <c r="Q97" s="179">
        <f t="shared" si="28"/>
        <v>0</v>
      </c>
      <c r="R97" s="179">
        <f t="shared" si="28"/>
        <v>0</v>
      </c>
      <c r="S97" s="179">
        <f t="shared" si="28"/>
        <v>0.23831552211405849</v>
      </c>
      <c r="T97" s="179">
        <f t="shared" si="28"/>
        <v>0</v>
      </c>
      <c r="U97" s="74">
        <f t="shared" si="28"/>
        <v>0.23831552211405849</v>
      </c>
      <c r="W97" s="180" t="s">
        <v>41</v>
      </c>
      <c r="X97" s="181" t="e">
        <f t="shared" ref="X97:AF102" si="29">M97/B97</f>
        <v>#DIV/0!</v>
      </c>
      <c r="Y97" s="181" t="e">
        <f t="shared" si="29"/>
        <v>#DIV/0!</v>
      </c>
      <c r="Z97" s="181">
        <f t="shared" si="29"/>
        <v>0</v>
      </c>
      <c r="AA97" s="181">
        <f t="shared" si="29"/>
        <v>0</v>
      </c>
      <c r="AB97" s="181">
        <f t="shared" si="29"/>
        <v>0</v>
      </c>
      <c r="AC97" s="181">
        <f t="shared" si="29"/>
        <v>0</v>
      </c>
      <c r="AD97" s="181" t="e">
        <f t="shared" si="29"/>
        <v>#DIV/0!</v>
      </c>
      <c r="AE97" s="181" t="e">
        <f t="shared" si="29"/>
        <v>#DIV/0!</v>
      </c>
      <c r="AF97" s="182">
        <f t="shared" si="29"/>
        <v>0.1661662551428946</v>
      </c>
    </row>
    <row r="98" spans="1:32">
      <c r="A98" s="72" t="s">
        <v>42</v>
      </c>
      <c r="B98" s="183">
        <v>0.67318413292592405</v>
      </c>
      <c r="C98" s="183">
        <v>0.22798852444940365</v>
      </c>
      <c r="D98" s="183">
        <v>1.4308076877544122</v>
      </c>
      <c r="E98" s="183">
        <v>1.2090706872109602</v>
      </c>
      <c r="F98" s="183">
        <v>0.58601460003157391</v>
      </c>
      <c r="G98" s="183">
        <v>0.75125928107787243</v>
      </c>
      <c r="H98" s="183">
        <v>0.37632721795307639</v>
      </c>
      <c r="I98" s="183">
        <v>0.74325776131237808</v>
      </c>
      <c r="J98" s="73">
        <f t="shared" ref="J98:J101" si="30">SUM(B98:I98)</f>
        <v>5.9979098927156018</v>
      </c>
      <c r="K98" s="60"/>
      <c r="L98" s="72" t="s">
        <v>42</v>
      </c>
      <c r="M98" s="183">
        <f t="shared" si="28"/>
        <v>0</v>
      </c>
      <c r="N98" s="183">
        <f t="shared" si="28"/>
        <v>0</v>
      </c>
      <c r="O98" s="183">
        <f t="shared" si="28"/>
        <v>0</v>
      </c>
      <c r="P98" s="183">
        <f t="shared" si="28"/>
        <v>0</v>
      </c>
      <c r="Q98" s="183">
        <f t="shared" si="28"/>
        <v>0</v>
      </c>
      <c r="R98" s="183">
        <f t="shared" si="28"/>
        <v>0</v>
      </c>
      <c r="S98" s="183">
        <f t="shared" si="28"/>
        <v>0.44487862175177179</v>
      </c>
      <c r="T98" s="183">
        <f t="shared" si="28"/>
        <v>-2.3749776037575554E-2</v>
      </c>
      <c r="U98" s="73">
        <f t="shared" si="28"/>
        <v>0.42112884571419507</v>
      </c>
      <c r="W98" s="180" t="s">
        <v>42</v>
      </c>
      <c r="X98" s="184">
        <f t="shared" si="29"/>
        <v>0</v>
      </c>
      <c r="Y98" s="184">
        <f t="shared" si="29"/>
        <v>0</v>
      </c>
      <c r="Z98" s="184">
        <f t="shared" si="29"/>
        <v>0</v>
      </c>
      <c r="AA98" s="184">
        <f t="shared" si="29"/>
        <v>0</v>
      </c>
      <c r="AB98" s="184">
        <f t="shared" si="29"/>
        <v>0</v>
      </c>
      <c r="AC98" s="184">
        <f t="shared" si="29"/>
        <v>0</v>
      </c>
      <c r="AD98" s="184">
        <f t="shared" si="29"/>
        <v>1.1821590374769091</v>
      </c>
      <c r="AE98" s="184">
        <f t="shared" si="29"/>
        <v>-3.1953619960375955E-2</v>
      </c>
      <c r="AF98" s="185">
        <f t="shared" si="29"/>
        <v>7.0212599596678096E-2</v>
      </c>
    </row>
    <row r="99" spans="1:32">
      <c r="A99" s="72" t="s">
        <v>43</v>
      </c>
      <c r="B99" s="183">
        <v>0</v>
      </c>
      <c r="C99" s="183">
        <v>0</v>
      </c>
      <c r="D99" s="183">
        <v>0</v>
      </c>
      <c r="E99" s="183">
        <v>0</v>
      </c>
      <c r="F99" s="183">
        <v>0</v>
      </c>
      <c r="G99" s="183">
        <v>0</v>
      </c>
      <c r="H99" s="183">
        <v>0</v>
      </c>
      <c r="I99" s="183">
        <v>0</v>
      </c>
      <c r="J99" s="73">
        <f t="shared" si="30"/>
        <v>0</v>
      </c>
      <c r="K99" s="60"/>
      <c r="L99" s="72" t="s">
        <v>43</v>
      </c>
      <c r="M99" s="183">
        <f t="shared" si="28"/>
        <v>0</v>
      </c>
      <c r="N99" s="183">
        <f t="shared" si="28"/>
        <v>0</v>
      </c>
      <c r="O99" s="183">
        <f t="shared" si="28"/>
        <v>0</v>
      </c>
      <c r="P99" s="183">
        <f t="shared" si="28"/>
        <v>0</v>
      </c>
      <c r="Q99" s="183">
        <f t="shared" si="28"/>
        <v>0</v>
      </c>
      <c r="R99" s="183">
        <f t="shared" si="28"/>
        <v>0</v>
      </c>
      <c r="S99" s="183">
        <f t="shared" si="28"/>
        <v>9.9579559999999998E-2</v>
      </c>
      <c r="T99" s="183">
        <f t="shared" si="28"/>
        <v>0</v>
      </c>
      <c r="U99" s="73">
        <f t="shared" si="28"/>
        <v>9.9579559999999998E-2</v>
      </c>
      <c r="W99" s="180" t="s">
        <v>43</v>
      </c>
      <c r="X99" s="184" t="e">
        <f t="shared" si="29"/>
        <v>#DIV/0!</v>
      </c>
      <c r="Y99" s="184" t="e">
        <f t="shared" si="29"/>
        <v>#DIV/0!</v>
      </c>
      <c r="Z99" s="184" t="e">
        <f t="shared" si="29"/>
        <v>#DIV/0!</v>
      </c>
      <c r="AA99" s="184" t="e">
        <f t="shared" si="29"/>
        <v>#DIV/0!</v>
      </c>
      <c r="AB99" s="184" t="e">
        <f t="shared" si="29"/>
        <v>#DIV/0!</v>
      </c>
      <c r="AC99" s="184" t="e">
        <f t="shared" si="29"/>
        <v>#DIV/0!</v>
      </c>
      <c r="AD99" s="184" t="e">
        <f t="shared" si="29"/>
        <v>#DIV/0!</v>
      </c>
      <c r="AE99" s="184" t="e">
        <f t="shared" si="29"/>
        <v>#DIV/0!</v>
      </c>
      <c r="AF99" s="185" t="e">
        <f t="shared" si="29"/>
        <v>#DIV/0!</v>
      </c>
    </row>
    <row r="100" spans="1:32">
      <c r="A100" s="161" t="s">
        <v>23</v>
      </c>
      <c r="B100" s="183">
        <v>0</v>
      </c>
      <c r="C100" s="183">
        <v>0</v>
      </c>
      <c r="D100" s="183">
        <v>0</v>
      </c>
      <c r="E100" s="183">
        <v>0</v>
      </c>
      <c r="F100" s="183">
        <v>0</v>
      </c>
      <c r="G100" s="183">
        <v>0</v>
      </c>
      <c r="H100" s="183">
        <v>0</v>
      </c>
      <c r="I100" s="183">
        <v>0</v>
      </c>
      <c r="J100" s="73">
        <f t="shared" si="30"/>
        <v>0</v>
      </c>
      <c r="K100" s="60"/>
      <c r="L100" s="161" t="s">
        <v>23</v>
      </c>
      <c r="M100" s="183">
        <f t="shared" si="28"/>
        <v>0</v>
      </c>
      <c r="N100" s="183">
        <f t="shared" si="28"/>
        <v>0</v>
      </c>
      <c r="O100" s="183">
        <f t="shared" si="28"/>
        <v>0</v>
      </c>
      <c r="P100" s="183">
        <f t="shared" si="28"/>
        <v>0</v>
      </c>
      <c r="Q100" s="183">
        <f t="shared" si="28"/>
        <v>0</v>
      </c>
      <c r="R100" s="183">
        <f t="shared" si="28"/>
        <v>0</v>
      </c>
      <c r="S100" s="183">
        <f t="shared" si="28"/>
        <v>0</v>
      </c>
      <c r="T100" s="183">
        <f t="shared" si="28"/>
        <v>0</v>
      </c>
      <c r="U100" s="73">
        <f t="shared" si="28"/>
        <v>0</v>
      </c>
      <c r="W100" s="161" t="s">
        <v>23</v>
      </c>
      <c r="X100" s="184" t="e">
        <f t="shared" si="29"/>
        <v>#DIV/0!</v>
      </c>
      <c r="Y100" s="184" t="e">
        <f t="shared" si="29"/>
        <v>#DIV/0!</v>
      </c>
      <c r="Z100" s="184" t="e">
        <f t="shared" si="29"/>
        <v>#DIV/0!</v>
      </c>
      <c r="AA100" s="184" t="e">
        <f t="shared" si="29"/>
        <v>#DIV/0!</v>
      </c>
      <c r="AB100" s="184" t="e">
        <f t="shared" si="29"/>
        <v>#DIV/0!</v>
      </c>
      <c r="AC100" s="184" t="e">
        <f t="shared" si="29"/>
        <v>#DIV/0!</v>
      </c>
      <c r="AD100" s="184" t="e">
        <f t="shared" si="29"/>
        <v>#DIV/0!</v>
      </c>
      <c r="AE100" s="184" t="e">
        <f t="shared" si="29"/>
        <v>#DIV/0!</v>
      </c>
      <c r="AF100" s="185" t="e">
        <f t="shared" si="29"/>
        <v>#DIV/0!</v>
      </c>
    </row>
    <row r="101" spans="1:32">
      <c r="A101" s="161" t="s">
        <v>44</v>
      </c>
      <c r="B101" s="186">
        <v>0</v>
      </c>
      <c r="C101" s="186">
        <v>0</v>
      </c>
      <c r="D101" s="186">
        <v>0</v>
      </c>
      <c r="E101" s="186">
        <v>0</v>
      </c>
      <c r="F101" s="186">
        <v>0</v>
      </c>
      <c r="G101" s="186">
        <v>0</v>
      </c>
      <c r="H101" s="186">
        <v>0</v>
      </c>
      <c r="I101" s="186">
        <v>0</v>
      </c>
      <c r="J101" s="187">
        <f t="shared" si="30"/>
        <v>0</v>
      </c>
      <c r="K101" s="60"/>
      <c r="L101" s="161" t="s">
        <v>44</v>
      </c>
      <c r="M101" s="183">
        <f t="shared" si="28"/>
        <v>0</v>
      </c>
      <c r="N101" s="183">
        <f t="shared" si="28"/>
        <v>0</v>
      </c>
      <c r="O101" s="183">
        <f t="shared" si="28"/>
        <v>0</v>
      </c>
      <c r="P101" s="183">
        <f t="shared" si="28"/>
        <v>0</v>
      </c>
      <c r="Q101" s="183">
        <f t="shared" si="28"/>
        <v>0</v>
      </c>
      <c r="R101" s="183">
        <f t="shared" si="28"/>
        <v>0</v>
      </c>
      <c r="S101" s="183">
        <f t="shared" si="28"/>
        <v>0</v>
      </c>
      <c r="T101" s="183">
        <f t="shared" si="28"/>
        <v>0</v>
      </c>
      <c r="U101" s="73">
        <f t="shared" si="28"/>
        <v>0</v>
      </c>
      <c r="W101" s="161" t="s">
        <v>44</v>
      </c>
      <c r="X101" s="184" t="e">
        <f t="shared" si="29"/>
        <v>#DIV/0!</v>
      </c>
      <c r="Y101" s="184" t="e">
        <f t="shared" si="29"/>
        <v>#DIV/0!</v>
      </c>
      <c r="Z101" s="184" t="e">
        <f t="shared" si="29"/>
        <v>#DIV/0!</v>
      </c>
      <c r="AA101" s="184" t="e">
        <f t="shared" si="29"/>
        <v>#DIV/0!</v>
      </c>
      <c r="AB101" s="184" t="e">
        <f t="shared" si="29"/>
        <v>#DIV/0!</v>
      </c>
      <c r="AC101" s="184" t="e">
        <f t="shared" si="29"/>
        <v>#DIV/0!</v>
      </c>
      <c r="AD101" s="184" t="e">
        <f t="shared" si="29"/>
        <v>#DIV/0!</v>
      </c>
      <c r="AE101" s="184" t="e">
        <f t="shared" si="29"/>
        <v>#DIV/0!</v>
      </c>
      <c r="AF101" s="185" t="e">
        <f t="shared" si="29"/>
        <v>#DIV/0!</v>
      </c>
    </row>
    <row r="102" spans="1:32">
      <c r="A102" s="35" t="s">
        <v>45</v>
      </c>
      <c r="B102" s="188">
        <f>SUM(B97:B101)</f>
        <v>0.67318413292592405</v>
      </c>
      <c r="C102" s="188">
        <f t="shared" ref="C102:J102" si="31">SUM(C97:C101)</f>
        <v>0.22798852444940365</v>
      </c>
      <c r="D102" s="188">
        <f t="shared" si="31"/>
        <v>1.676237726445782</v>
      </c>
      <c r="E102" s="188">
        <f t="shared" si="31"/>
        <v>1.676993526815941</v>
      </c>
      <c r="F102" s="188">
        <f t="shared" si="31"/>
        <v>1.0051852089396989</v>
      </c>
      <c r="G102" s="188">
        <f t="shared" si="31"/>
        <v>1.0529350656155396</v>
      </c>
      <c r="H102" s="188">
        <f t="shared" si="31"/>
        <v>0.37632721795307639</v>
      </c>
      <c r="I102" s="188">
        <f t="shared" si="31"/>
        <v>0.74325776131237808</v>
      </c>
      <c r="J102" s="188">
        <f t="shared" si="31"/>
        <v>7.4321091644577439</v>
      </c>
      <c r="K102" s="60"/>
      <c r="L102" s="35" t="s">
        <v>45</v>
      </c>
      <c r="M102" s="59">
        <f t="shared" si="28"/>
        <v>0</v>
      </c>
      <c r="N102" s="65">
        <f t="shared" si="28"/>
        <v>0</v>
      </c>
      <c r="O102" s="170">
        <f t="shared" si="28"/>
        <v>0</v>
      </c>
      <c r="P102" s="65">
        <f t="shared" si="28"/>
        <v>0</v>
      </c>
      <c r="Q102" s="65">
        <f t="shared" si="28"/>
        <v>0</v>
      </c>
      <c r="R102" s="65">
        <f t="shared" si="28"/>
        <v>0</v>
      </c>
      <c r="S102" s="65">
        <f t="shared" si="28"/>
        <v>0.78277370386583023</v>
      </c>
      <c r="T102" s="65">
        <f t="shared" si="28"/>
        <v>-2.3749776037575554E-2</v>
      </c>
      <c r="U102" s="65">
        <f t="shared" si="28"/>
        <v>0.75902392782825423</v>
      </c>
      <c r="W102" s="189" t="s">
        <v>45</v>
      </c>
      <c r="X102" s="190">
        <f t="shared" si="29"/>
        <v>0</v>
      </c>
      <c r="Y102" s="191">
        <f t="shared" si="29"/>
        <v>0</v>
      </c>
      <c r="Z102" s="192">
        <f t="shared" si="29"/>
        <v>0</v>
      </c>
      <c r="AA102" s="191">
        <f t="shared" si="29"/>
        <v>0</v>
      </c>
      <c r="AB102" s="191">
        <f t="shared" si="29"/>
        <v>0</v>
      </c>
      <c r="AC102" s="191">
        <f t="shared" si="29"/>
        <v>0</v>
      </c>
      <c r="AD102" s="191">
        <f t="shared" si="29"/>
        <v>2.0800347849499237</v>
      </c>
      <c r="AE102" s="191">
        <f t="shared" si="29"/>
        <v>-3.1953619960375955E-2</v>
      </c>
      <c r="AF102" s="191">
        <f t="shared" si="29"/>
        <v>0.10212766134519413</v>
      </c>
    </row>
    <row r="103" spans="1:32">
      <c r="A103" s="75"/>
      <c r="B103" s="193"/>
      <c r="C103" s="193"/>
      <c r="D103" s="194"/>
      <c r="E103" s="193"/>
      <c r="F103" s="193"/>
      <c r="G103" s="193"/>
      <c r="H103" s="193"/>
      <c r="I103" s="193"/>
      <c r="J103" s="193"/>
      <c r="K103" s="60"/>
      <c r="L103" s="75"/>
      <c r="M103" s="195"/>
      <c r="N103" s="193"/>
      <c r="O103" s="194"/>
      <c r="P103" s="193"/>
      <c r="Q103" s="193"/>
      <c r="R103" s="193"/>
      <c r="S103" s="193"/>
      <c r="T103" s="193"/>
      <c r="U103" s="193"/>
      <c r="W103" s="76"/>
      <c r="X103" s="77"/>
      <c r="Y103" s="78"/>
      <c r="Z103" s="79"/>
      <c r="AA103" s="78"/>
      <c r="AB103" s="78"/>
      <c r="AC103" s="78"/>
      <c r="AD103" s="78"/>
      <c r="AE103" s="78"/>
      <c r="AF103" s="78"/>
    </row>
    <row r="104" spans="1:32" ht="24.75">
      <c r="A104" s="64" t="s">
        <v>46</v>
      </c>
      <c r="B104" s="80">
        <f t="shared" ref="B104:I104" si="32">+B94-B102</f>
        <v>334.25578746475213</v>
      </c>
      <c r="C104" s="80">
        <f t="shared" si="32"/>
        <v>322.98199532923837</v>
      </c>
      <c r="D104" s="80">
        <f t="shared" si="32"/>
        <v>317.15508074755451</v>
      </c>
      <c r="E104" s="80">
        <f t="shared" si="32"/>
        <v>341.04732109011701</v>
      </c>
      <c r="F104" s="80">
        <f t="shared" si="32"/>
        <v>327.5628630059046</v>
      </c>
      <c r="G104" s="80">
        <f t="shared" si="32"/>
        <v>312.58033796672879</v>
      </c>
      <c r="H104" s="80">
        <f t="shared" si="32"/>
        <v>319.30352257005592</v>
      </c>
      <c r="I104" s="80">
        <f t="shared" si="32"/>
        <v>315.30192415441093</v>
      </c>
      <c r="J104" s="80">
        <f>SUM(B104:I104)</f>
        <v>2590.1888323287621</v>
      </c>
      <c r="K104" s="60"/>
      <c r="L104" s="64" t="s">
        <v>46</v>
      </c>
      <c r="M104" s="80">
        <f t="shared" ref="M104:U104" si="33">B54-B104</f>
        <v>0</v>
      </c>
      <c r="N104" s="80">
        <f t="shared" si="33"/>
        <v>0</v>
      </c>
      <c r="O104" s="80">
        <f t="shared" si="33"/>
        <v>0</v>
      </c>
      <c r="P104" s="80">
        <f t="shared" si="33"/>
        <v>0</v>
      </c>
      <c r="Q104" s="80">
        <f t="shared" si="33"/>
        <v>0</v>
      </c>
      <c r="R104" s="80">
        <f t="shared" si="33"/>
        <v>0</v>
      </c>
      <c r="S104" s="80">
        <f t="shared" si="33"/>
        <v>2.4615398711212038</v>
      </c>
      <c r="T104" s="80">
        <f t="shared" si="33"/>
        <v>15.087904826411545</v>
      </c>
      <c r="U104" s="80">
        <f t="shared" si="33"/>
        <v>17.54944469753309</v>
      </c>
      <c r="W104" s="196" t="s">
        <v>46</v>
      </c>
      <c r="X104" s="197">
        <f t="shared" ref="X104:AF104" si="34">M104/B104</f>
        <v>0</v>
      </c>
      <c r="Y104" s="197">
        <f t="shared" si="34"/>
        <v>0</v>
      </c>
      <c r="Z104" s="197">
        <f t="shared" si="34"/>
        <v>0</v>
      </c>
      <c r="AA104" s="197">
        <f t="shared" si="34"/>
        <v>0</v>
      </c>
      <c r="AB104" s="197">
        <f t="shared" si="34"/>
        <v>0</v>
      </c>
      <c r="AC104" s="197">
        <f t="shared" si="34"/>
        <v>0</v>
      </c>
      <c r="AD104" s="197">
        <f t="shared" si="34"/>
        <v>7.7090908716208615E-3</v>
      </c>
      <c r="AE104" s="197">
        <f t="shared" si="34"/>
        <v>4.785224469173438E-2</v>
      </c>
      <c r="AF104" s="197">
        <f t="shared" si="34"/>
        <v>6.7753533945071115E-3</v>
      </c>
    </row>
    <row r="105" spans="1:32">
      <c r="B105" s="198"/>
      <c r="C105" s="198"/>
      <c r="D105" s="198"/>
      <c r="E105" s="198"/>
      <c r="F105" s="198"/>
      <c r="G105" s="198"/>
      <c r="H105" s="198"/>
      <c r="I105" s="198"/>
      <c r="J105" s="198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</row>
    <row r="106" spans="1:32">
      <c r="B106" s="67"/>
      <c r="C106" s="60"/>
      <c r="D106" s="81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</row>
    <row r="107" spans="1:32">
      <c r="A107" s="6" t="s">
        <v>52</v>
      </c>
      <c r="B107" s="67"/>
      <c r="C107" s="60"/>
      <c r="D107" s="81"/>
      <c r="E107" s="60"/>
      <c r="F107" s="60"/>
      <c r="G107" s="60"/>
      <c r="H107" s="60"/>
      <c r="I107" s="60"/>
      <c r="J107" s="60"/>
      <c r="K107" s="60"/>
      <c r="L107" s="81" t="s">
        <v>53</v>
      </c>
      <c r="M107" s="60"/>
      <c r="N107" s="60"/>
      <c r="O107" s="81"/>
      <c r="P107" s="60"/>
      <c r="Q107" s="60"/>
      <c r="R107" s="60"/>
      <c r="S107" s="60"/>
      <c r="T107" s="60"/>
      <c r="U107" s="60"/>
      <c r="W107" s="6" t="s">
        <v>54</v>
      </c>
      <c r="Z107" s="6"/>
    </row>
    <row r="108" spans="1:32">
      <c r="A108" s="7" t="str">
        <f>$A$3&amp;" prices"</f>
        <v>2019/20 prices</v>
      </c>
      <c r="B108" s="67"/>
      <c r="C108" s="60"/>
      <c r="D108" s="81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81"/>
      <c r="P108" s="60"/>
      <c r="Q108" s="60"/>
      <c r="R108" s="60"/>
      <c r="S108" s="60"/>
      <c r="T108" s="60"/>
      <c r="U108" s="60"/>
      <c r="Z108" s="6"/>
    </row>
    <row r="109" spans="1:32">
      <c r="A109" s="8"/>
      <c r="B109" s="199"/>
      <c r="C109" s="200"/>
      <c r="D109" s="201"/>
      <c r="E109" s="200"/>
      <c r="F109" s="200"/>
      <c r="G109" s="200"/>
      <c r="H109" s="200"/>
      <c r="I109" s="200"/>
      <c r="J109" s="202"/>
      <c r="K109" s="60"/>
      <c r="L109" s="8"/>
      <c r="M109" s="199"/>
      <c r="N109" s="200"/>
      <c r="O109" s="201"/>
      <c r="P109" s="200"/>
      <c r="Q109" s="200"/>
      <c r="R109" s="200"/>
      <c r="S109" s="200"/>
      <c r="T109" s="200"/>
      <c r="U109" s="202"/>
      <c r="W109" s="8"/>
      <c r="X109" s="199"/>
      <c r="Y109" s="200"/>
      <c r="Z109" s="201"/>
      <c r="AA109" s="200"/>
      <c r="AB109" s="200"/>
      <c r="AC109" s="200"/>
      <c r="AD109" s="200"/>
      <c r="AE109" s="200"/>
      <c r="AF109" s="202"/>
    </row>
    <row r="110" spans="1:32">
      <c r="A110" s="14"/>
      <c r="B110" s="203" t="s">
        <v>55</v>
      </c>
      <c r="C110" s="204"/>
      <c r="D110" s="204"/>
      <c r="E110" s="204"/>
      <c r="F110" s="204"/>
      <c r="G110" s="204"/>
      <c r="H110" s="204"/>
      <c r="I110" s="204"/>
      <c r="J110" s="205"/>
      <c r="K110" s="60"/>
      <c r="L110" s="14"/>
      <c r="M110" s="206" t="s">
        <v>55</v>
      </c>
      <c r="N110" s="207"/>
      <c r="O110" s="207"/>
      <c r="P110" s="207"/>
      <c r="Q110" s="207"/>
      <c r="R110" s="207"/>
      <c r="S110" s="207"/>
      <c r="T110" s="207"/>
      <c r="U110" s="208"/>
      <c r="W110" s="14"/>
      <c r="X110" s="206" t="s">
        <v>55</v>
      </c>
      <c r="Y110" s="207"/>
      <c r="Z110" s="207"/>
      <c r="AA110" s="207"/>
      <c r="AB110" s="207"/>
      <c r="AC110" s="207"/>
      <c r="AD110" s="207"/>
      <c r="AE110" s="207"/>
      <c r="AF110" s="208"/>
    </row>
    <row r="111" spans="1:32" ht="24.75">
      <c r="A111" s="21" t="s">
        <v>6</v>
      </c>
      <c r="B111" s="22">
        <v>2014</v>
      </c>
      <c r="C111" s="23">
        <v>2015</v>
      </c>
      <c r="D111" s="23">
        <v>2016</v>
      </c>
      <c r="E111" s="87">
        <v>2017</v>
      </c>
      <c r="F111" s="23">
        <v>2018</v>
      </c>
      <c r="G111" s="87">
        <v>2019</v>
      </c>
      <c r="H111" s="23">
        <v>2020</v>
      </c>
      <c r="I111" s="88">
        <v>2021</v>
      </c>
      <c r="J111" s="209" t="s">
        <v>5</v>
      </c>
      <c r="K111" s="60"/>
      <c r="L111" s="21" t="s">
        <v>6</v>
      </c>
      <c r="M111" s="22">
        <v>2014</v>
      </c>
      <c r="N111" s="23">
        <v>2015</v>
      </c>
      <c r="O111" s="23">
        <v>2016</v>
      </c>
      <c r="P111" s="87">
        <v>2017</v>
      </c>
      <c r="Q111" s="23">
        <v>2018</v>
      </c>
      <c r="R111" s="87">
        <v>2019</v>
      </c>
      <c r="S111" s="23">
        <v>2020</v>
      </c>
      <c r="T111" s="88">
        <v>2021</v>
      </c>
      <c r="U111" s="209" t="s">
        <v>5</v>
      </c>
      <c r="W111" s="21" t="s">
        <v>6</v>
      </c>
      <c r="X111" s="22">
        <v>2014</v>
      </c>
      <c r="Y111" s="23">
        <v>2015</v>
      </c>
      <c r="Z111" s="23">
        <v>2016</v>
      </c>
      <c r="AA111" s="87">
        <v>2017</v>
      </c>
      <c r="AB111" s="23">
        <v>2018</v>
      </c>
      <c r="AC111" s="87">
        <v>2019</v>
      </c>
      <c r="AD111" s="23">
        <v>2020</v>
      </c>
      <c r="AE111" s="88">
        <v>2021</v>
      </c>
      <c r="AF111" s="209" t="s">
        <v>5</v>
      </c>
    </row>
    <row r="112" spans="1:32">
      <c r="A112" s="24" t="s">
        <v>7</v>
      </c>
      <c r="B112" s="210">
        <f>SUM(B153,B209)*'[1]Universal data'!$F$40</f>
        <v>18.605335694010005</v>
      </c>
      <c r="C112" s="89">
        <f>SUM(C153,C209)*'[1]Universal data'!$F$40</f>
        <v>17.929021459120314</v>
      </c>
      <c r="D112" s="89">
        <f>SUM(D153,D209)*'[1]Universal data'!$F$40</f>
        <v>16.088401290908788</v>
      </c>
      <c r="E112" s="89">
        <f>SUM(E153,E209)*'[1]Universal data'!$F$40</f>
        <v>15.351445561951621</v>
      </c>
      <c r="F112" s="89">
        <f>SUM(F153,F209)*'[1]Universal data'!$F$40</f>
        <v>17.221520091867269</v>
      </c>
      <c r="G112" s="89">
        <f>SUM(G153,G209)*'[1]Universal data'!$F$40</f>
        <v>14.993479506976522</v>
      </c>
      <c r="H112" s="89">
        <f>SUM(H153,H209)*'[1]Universal data'!$F$40</f>
        <v>13.911596464805941</v>
      </c>
      <c r="I112" s="90">
        <f>SUM(I153,I209)*'[1]Universal data'!$F$40</f>
        <v>16.254841170441562</v>
      </c>
      <c r="J112" s="27">
        <f>SUM(J153,J209)*'[1]Universal data'!$F$40</f>
        <v>130.35564124008201</v>
      </c>
      <c r="K112" s="211"/>
      <c r="L112" s="24" t="s">
        <v>7</v>
      </c>
      <c r="M112" s="212">
        <f t="shared" ref="M112:U137" si="35">B12-B112</f>
        <v>-8.8078659984756644</v>
      </c>
      <c r="N112" s="213">
        <f t="shared" si="35"/>
        <v>-10.725904837377302</v>
      </c>
      <c r="O112" s="213">
        <f t="shared" si="35"/>
        <v>-3.5104284097981253</v>
      </c>
      <c r="P112" s="213">
        <f t="shared" si="35"/>
        <v>-5.2272226418276819</v>
      </c>
      <c r="Q112" s="213">
        <f t="shared" si="35"/>
        <v>-9.2861081636986</v>
      </c>
      <c r="R112" s="213">
        <f t="shared" si="35"/>
        <v>-5.1182419869147875</v>
      </c>
      <c r="S112" s="213">
        <f t="shared" si="35"/>
        <v>-6.1530975648059414</v>
      </c>
      <c r="T112" s="214">
        <f t="shared" si="35"/>
        <v>-7.2899241071728387</v>
      </c>
      <c r="U112" s="215">
        <f t="shared" si="35"/>
        <v>-56.118793710070918</v>
      </c>
      <c r="W112" s="24" t="s">
        <v>7</v>
      </c>
      <c r="X112" s="216">
        <f t="shared" ref="X112:AF144" si="36">M112/B112</f>
        <v>-0.47340537915214076</v>
      </c>
      <c r="Y112" s="217">
        <f t="shared" si="36"/>
        <v>-0.59824262366093273</v>
      </c>
      <c r="Z112" s="217">
        <f t="shared" si="36"/>
        <v>-0.21819622387103146</v>
      </c>
      <c r="AA112" s="217">
        <f t="shared" si="36"/>
        <v>-0.34050361060350515</v>
      </c>
      <c r="AB112" s="217">
        <f t="shared" si="36"/>
        <v>-0.53921536044218843</v>
      </c>
      <c r="AC112" s="217">
        <f t="shared" si="36"/>
        <v>-0.34136452346056501</v>
      </c>
      <c r="AD112" s="217">
        <f t="shared" si="36"/>
        <v>-0.44229988846875123</v>
      </c>
      <c r="AE112" s="218">
        <f t="shared" si="36"/>
        <v>-0.44847710480426728</v>
      </c>
      <c r="AF112" s="219">
        <f t="shared" si="36"/>
        <v>-0.43050529441003893</v>
      </c>
    </row>
    <row r="113" spans="1:32">
      <c r="A113" s="24" t="s">
        <v>8</v>
      </c>
      <c r="B113" s="220">
        <f>SUM(B154,B210)*'[1]Universal data'!$F$40</f>
        <v>10.650467424432206</v>
      </c>
      <c r="C113" s="96">
        <f>SUM(C154,C210)*'[1]Universal data'!$F$40</f>
        <v>11.118331437431248</v>
      </c>
      <c r="D113" s="96">
        <f>SUM(D154,D210)*'[1]Universal data'!$F$40</f>
        <v>11.358682759177551</v>
      </c>
      <c r="E113" s="96">
        <f>SUM(E154,E210)*'[1]Universal data'!$F$40</f>
        <v>12.766887996814114</v>
      </c>
      <c r="F113" s="96">
        <f>SUM(F154,F210)*'[1]Universal data'!$F$40</f>
        <v>11.469811700940527</v>
      </c>
      <c r="G113" s="96">
        <f>SUM(G154,G210)*'[1]Universal data'!$F$40</f>
        <v>11.688628961530606</v>
      </c>
      <c r="H113" s="96">
        <f>SUM(H154,H210)*'[1]Universal data'!$F$40</f>
        <v>11.746802579233737</v>
      </c>
      <c r="I113" s="97">
        <f>SUM(I154,I210)*'[1]Universal data'!$F$40</f>
        <v>11.903666554271171</v>
      </c>
      <c r="J113" s="30">
        <f>SUM(J154,J210)*'[1]Universal data'!$F$40</f>
        <v>92.703279413831154</v>
      </c>
      <c r="K113" s="211"/>
      <c r="L113" s="24" t="s">
        <v>8</v>
      </c>
      <c r="M113" s="221">
        <f t="shared" si="35"/>
        <v>1.2233087845255106</v>
      </c>
      <c r="N113" s="222">
        <f t="shared" si="35"/>
        <v>-0.34089944732856026</v>
      </c>
      <c r="O113" s="222">
        <f t="shared" si="35"/>
        <v>1.9438603642887919</v>
      </c>
      <c r="P113" s="222">
        <f t="shared" si="35"/>
        <v>-0.60201548358076096</v>
      </c>
      <c r="Q113" s="222">
        <f t="shared" si="35"/>
        <v>1.8703557625703624</v>
      </c>
      <c r="R113" s="222">
        <f t="shared" si="35"/>
        <v>1.1947731883133041</v>
      </c>
      <c r="S113" s="222">
        <f t="shared" si="35"/>
        <v>2.6973165018228702</v>
      </c>
      <c r="T113" s="223">
        <f t="shared" si="35"/>
        <v>1.6865527937387732</v>
      </c>
      <c r="U113" s="224">
        <f t="shared" si="35"/>
        <v>9.6732524643502984</v>
      </c>
      <c r="W113" s="24" t="s">
        <v>8</v>
      </c>
      <c r="X113" s="225">
        <f t="shared" si="36"/>
        <v>0.1148596334578928</v>
      </c>
      <c r="Y113" s="226">
        <f t="shared" si="36"/>
        <v>-3.0661025824511742E-2</v>
      </c>
      <c r="Z113" s="226">
        <f t="shared" si="36"/>
        <v>0.17113431244641444</v>
      </c>
      <c r="AA113" s="226">
        <f t="shared" si="36"/>
        <v>-4.7154442314445745E-2</v>
      </c>
      <c r="AB113" s="226">
        <f t="shared" si="36"/>
        <v>0.16306769555920372</v>
      </c>
      <c r="AC113" s="226">
        <f t="shared" si="36"/>
        <v>0.10221670926894155</v>
      </c>
      <c r="AD113" s="226">
        <f t="shared" si="36"/>
        <v>0.22962133598731346</v>
      </c>
      <c r="AE113" s="227">
        <f t="shared" si="36"/>
        <v>0.14168347089104399</v>
      </c>
      <c r="AF113" s="228">
        <f t="shared" si="36"/>
        <v>0.10434638909772018</v>
      </c>
    </row>
    <row r="114" spans="1:32">
      <c r="A114" s="24" t="s">
        <v>9</v>
      </c>
      <c r="B114" s="220">
        <f>SUM(B155,B211)*'[1]Universal data'!$F$40</f>
        <v>10.541942585506517</v>
      </c>
      <c r="C114" s="96">
        <f>SUM(C155,C211)*'[1]Universal data'!$F$40</f>
        <v>10.558065904534212</v>
      </c>
      <c r="D114" s="96">
        <f>SUM(D155,D211)*'[1]Universal data'!$F$40</f>
        <v>10.57204903429864</v>
      </c>
      <c r="E114" s="96">
        <f>SUM(E155,E211)*'[1]Universal data'!$F$40</f>
        <v>10.595050686694252</v>
      </c>
      <c r="F114" s="96">
        <f>SUM(F155,F211)*'[1]Universal data'!$F$40</f>
        <v>10.608434949034653</v>
      </c>
      <c r="G114" s="96">
        <f>SUM(G155,G211)*'[1]Universal data'!$F$40</f>
        <v>10.609005380598646</v>
      </c>
      <c r="H114" s="96">
        <f>SUM(H155,H211)*'[1]Universal data'!$F$40</f>
        <v>10.612256236244125</v>
      </c>
      <c r="I114" s="97">
        <f>SUM(I155,I211)*'[1]Universal data'!$F$40</f>
        <v>10.694463241808997</v>
      </c>
      <c r="J114" s="30">
        <f>SUM(J155,J211)*'[1]Universal data'!$F$40</f>
        <v>84.791268018720032</v>
      </c>
      <c r="K114" s="211"/>
      <c r="L114" s="24" t="s">
        <v>9</v>
      </c>
      <c r="M114" s="221">
        <f t="shared" si="35"/>
        <v>-6.1714296840090972</v>
      </c>
      <c r="N114" s="222">
        <f t="shared" si="35"/>
        <v>-6.592058303055472</v>
      </c>
      <c r="O114" s="222">
        <f t="shared" si="35"/>
        <v>-6.7451780444822802</v>
      </c>
      <c r="P114" s="222">
        <f t="shared" si="35"/>
        <v>-6.7201226549010133</v>
      </c>
      <c r="Q114" s="222">
        <f t="shared" si="35"/>
        <v>-5.7877503353339392</v>
      </c>
      <c r="R114" s="222">
        <f t="shared" si="35"/>
        <v>-4.8380246822180357</v>
      </c>
      <c r="S114" s="222">
        <f t="shared" si="35"/>
        <v>-3.2332940162441233</v>
      </c>
      <c r="T114" s="223">
        <f t="shared" si="35"/>
        <v>-3.2137868748128238</v>
      </c>
      <c r="U114" s="224">
        <f t="shared" si="35"/>
        <v>-43.301644595056779</v>
      </c>
      <c r="W114" s="24" t="s">
        <v>9</v>
      </c>
      <c r="X114" s="225">
        <f t="shared" si="36"/>
        <v>-0.58541674211865136</v>
      </c>
      <c r="Y114" s="226">
        <f t="shared" si="36"/>
        <v>-0.62436229918061803</v>
      </c>
      <c r="Z114" s="226">
        <f t="shared" si="36"/>
        <v>-0.63801993564341819</v>
      </c>
      <c r="AA114" s="226">
        <f t="shared" si="36"/>
        <v>-0.63426998639472765</v>
      </c>
      <c r="AB114" s="226">
        <f t="shared" si="36"/>
        <v>-0.54558003731366744</v>
      </c>
      <c r="AC114" s="226">
        <f t="shared" si="36"/>
        <v>-0.45602999608857164</v>
      </c>
      <c r="AD114" s="226">
        <f t="shared" si="36"/>
        <v>-0.30467545678000385</v>
      </c>
      <c r="AE114" s="227">
        <f t="shared" si="36"/>
        <v>-0.30050941334286202</v>
      </c>
      <c r="AF114" s="228">
        <f t="shared" si="36"/>
        <v>-0.51068518736500956</v>
      </c>
    </row>
    <row r="115" spans="1:32">
      <c r="A115" s="24" t="s">
        <v>10</v>
      </c>
      <c r="B115" s="220">
        <f>SUM(B156,B212)*'[1]Universal data'!$F$40</f>
        <v>3.0520280512229827</v>
      </c>
      <c r="C115" s="96">
        <f>SUM(C156,C212)*'[1]Universal data'!$F$40</f>
        <v>3.187672324245701</v>
      </c>
      <c r="D115" s="96">
        <f>SUM(D156,D212)*'[1]Universal data'!$F$40</f>
        <v>2.9146403434965622</v>
      </c>
      <c r="E115" s="96">
        <f>SUM(E156,E212)*'[1]Universal data'!$F$40</f>
        <v>4.2334238490721541</v>
      </c>
      <c r="F115" s="96">
        <f>SUM(F156,F212)*'[1]Universal data'!$F$40</f>
        <v>3.7734502588584169</v>
      </c>
      <c r="G115" s="96">
        <f>SUM(G156,G212)*'[1]Universal data'!$F$40</f>
        <v>3.8497789651566947</v>
      </c>
      <c r="H115" s="96">
        <f>SUM(H156,H212)*'[1]Universal data'!$F$40</f>
        <v>3.6398489911761009</v>
      </c>
      <c r="I115" s="97">
        <f>SUM(I156,I212)*'[1]Universal data'!$F$40</f>
        <v>4.2240854612042229</v>
      </c>
      <c r="J115" s="30">
        <f>SUM(J156,J212)*'[1]Universal data'!$F$40</f>
        <v>28.874928244432837</v>
      </c>
      <c r="K115" s="211"/>
      <c r="L115" s="24" t="s">
        <v>10</v>
      </c>
      <c r="M115" s="221">
        <f t="shared" si="35"/>
        <v>-0.43315490067489826</v>
      </c>
      <c r="N115" s="222">
        <f t="shared" si="35"/>
        <v>-0.77952536450092724</v>
      </c>
      <c r="O115" s="222">
        <f t="shared" si="35"/>
        <v>-0.19520355829532621</v>
      </c>
      <c r="P115" s="222">
        <f t="shared" si="35"/>
        <v>-2.4612164642724887</v>
      </c>
      <c r="Q115" s="222">
        <f t="shared" si="35"/>
        <v>-2.7329792158577506</v>
      </c>
      <c r="R115" s="222">
        <f t="shared" si="35"/>
        <v>-2.564755523712027</v>
      </c>
      <c r="S115" s="222">
        <f t="shared" si="35"/>
        <v>-1.561259539937212</v>
      </c>
      <c r="T115" s="223">
        <f t="shared" si="35"/>
        <v>-1.6648061241874856</v>
      </c>
      <c r="U115" s="224">
        <f t="shared" si="35"/>
        <v>-12.392900691438118</v>
      </c>
      <c r="W115" s="24" t="s">
        <v>10</v>
      </c>
      <c r="X115" s="225">
        <f t="shared" si="36"/>
        <v>-0.14192363025671673</v>
      </c>
      <c r="Y115" s="226">
        <f t="shared" si="36"/>
        <v>-0.24454375644942938</v>
      </c>
      <c r="Z115" s="226">
        <f t="shared" si="36"/>
        <v>-6.6973463374609479E-2</v>
      </c>
      <c r="AA115" s="226">
        <f t="shared" si="36"/>
        <v>-0.58137728515228104</v>
      </c>
      <c r="AB115" s="226">
        <f t="shared" si="36"/>
        <v>-0.72426533500525314</v>
      </c>
      <c r="AC115" s="226">
        <f t="shared" si="36"/>
        <v>-0.66620851402767112</v>
      </c>
      <c r="AD115" s="226">
        <f t="shared" si="36"/>
        <v>-0.42893525080905648</v>
      </c>
      <c r="AE115" s="227">
        <f t="shared" si="36"/>
        <v>-0.39412226373679349</v>
      </c>
      <c r="AF115" s="228">
        <f t="shared" si="36"/>
        <v>-0.42919243249816569</v>
      </c>
    </row>
    <row r="116" spans="1:32">
      <c r="A116" s="24" t="s">
        <v>11</v>
      </c>
      <c r="B116" s="220">
        <f>SUM(B157,B213)*'[1]Universal data'!$F$40</f>
        <v>30.244345071903215</v>
      </c>
      <c r="C116" s="96">
        <f>SUM(C157,C213)*'[1]Universal data'!$F$40</f>
        <v>29.122167415726015</v>
      </c>
      <c r="D116" s="96">
        <f>SUM(D157,D213)*'[1]Universal data'!$F$40</f>
        <v>22.386288411385681</v>
      </c>
      <c r="E116" s="96">
        <f>SUM(E157,E213)*'[1]Universal data'!$F$40</f>
        <v>24.141319160595689</v>
      </c>
      <c r="F116" s="96">
        <f>SUM(F157,F213)*'[1]Universal data'!$F$40</f>
        <v>24.679461194005857</v>
      </c>
      <c r="G116" s="96">
        <f>SUM(G157,G213)*'[1]Universal data'!$F$40</f>
        <v>19.797572695587505</v>
      </c>
      <c r="H116" s="96">
        <f>SUM(H157,H213)*'[1]Universal data'!$F$40</f>
        <v>20.395465788918376</v>
      </c>
      <c r="I116" s="97">
        <f>SUM(I157,I213)*'[1]Universal data'!$F$40</f>
        <v>19.58524176470922</v>
      </c>
      <c r="J116" s="30">
        <f>SUM(J157,J213)*'[1]Universal data'!$F$40</f>
        <v>190.35186150283155</v>
      </c>
      <c r="K116" s="211"/>
      <c r="L116" s="24" t="s">
        <v>11</v>
      </c>
      <c r="M116" s="221">
        <f t="shared" si="35"/>
        <v>4.7666854864054642E-3</v>
      </c>
      <c r="N116" s="222">
        <f t="shared" si="35"/>
        <v>-4.4308431168714684</v>
      </c>
      <c r="O116" s="222">
        <f t="shared" si="35"/>
        <v>-0.11976385571900039</v>
      </c>
      <c r="P116" s="222">
        <f t="shared" si="35"/>
        <v>0.78987324240316781</v>
      </c>
      <c r="Q116" s="222">
        <f t="shared" si="35"/>
        <v>0.53769973163115026</v>
      </c>
      <c r="R116" s="222">
        <f t="shared" si="35"/>
        <v>6.8936119119578656</v>
      </c>
      <c r="S116" s="222">
        <f t="shared" si="35"/>
        <v>-0.93094249882907931</v>
      </c>
      <c r="T116" s="223">
        <f t="shared" si="35"/>
        <v>6.8824927821451141</v>
      </c>
      <c r="U116" s="224">
        <f t="shared" si="35"/>
        <v>9.6268948822041409</v>
      </c>
      <c r="W116" s="24" t="s">
        <v>11</v>
      </c>
      <c r="X116" s="225">
        <f t="shared" si="36"/>
        <v>1.5760584251611656E-4</v>
      </c>
      <c r="Y116" s="226">
        <f t="shared" si="36"/>
        <v>-0.1521467497120014</v>
      </c>
      <c r="Z116" s="226">
        <f t="shared" si="36"/>
        <v>-5.3498754915570733E-3</v>
      </c>
      <c r="AA116" s="226">
        <f t="shared" si="36"/>
        <v>3.2718727470884307E-2</v>
      </c>
      <c r="AB116" s="226">
        <f t="shared" si="36"/>
        <v>2.1787336741441773E-2</v>
      </c>
      <c r="AC116" s="226">
        <f t="shared" si="36"/>
        <v>0.34820490460905434</v>
      </c>
      <c r="AD116" s="226">
        <f t="shared" si="36"/>
        <v>-4.5644581421371379E-2</v>
      </c>
      <c r="AE116" s="227">
        <f t="shared" si="36"/>
        <v>0.35141219418321018</v>
      </c>
      <c r="AF116" s="228">
        <f t="shared" si="36"/>
        <v>5.0574209289048308E-2</v>
      </c>
    </row>
    <row r="117" spans="1:32">
      <c r="A117" s="31" t="s">
        <v>12</v>
      </c>
      <c r="B117" s="229">
        <f>SUM(B158,B214)*'[1]Universal data'!$F$40</f>
        <v>9.478476685004539</v>
      </c>
      <c r="C117" s="103">
        <f>SUM(C158,C214)*'[1]Universal data'!$F$40</f>
        <v>9.0729437841560117</v>
      </c>
      <c r="D117" s="103">
        <f>SUM(D158,D214)*'[1]Universal data'!$F$40</f>
        <v>7.0698328964260568</v>
      </c>
      <c r="E117" s="103">
        <f>SUM(E158,E214)*'[1]Universal data'!$F$40</f>
        <v>6.6777047404194283</v>
      </c>
      <c r="F117" s="103">
        <f>SUM(F158,F214)*'[1]Universal data'!$F$40</f>
        <v>8.0630062048329627</v>
      </c>
      <c r="G117" s="103">
        <f>SUM(G158,G214)*'[1]Universal data'!$F$40</f>
        <v>7.6536693395174202</v>
      </c>
      <c r="H117" s="103">
        <f>SUM(H158,H214)*'[1]Universal data'!$F$40</f>
        <v>7.4975102279482693</v>
      </c>
      <c r="I117" s="104">
        <f>SUM(I158,I214)*'[1]Universal data'!$F$40</f>
        <v>6.7158205736274406</v>
      </c>
      <c r="J117" s="33">
        <f>SUM(J158,J214)*'[1]Universal data'!$F$40</f>
        <v>62.228964451932129</v>
      </c>
      <c r="K117" s="211"/>
      <c r="L117" s="31" t="s">
        <v>12</v>
      </c>
      <c r="M117" s="230">
        <f t="shared" si="35"/>
        <v>-3.1652904514325311</v>
      </c>
      <c r="N117" s="231">
        <f t="shared" si="35"/>
        <v>-0.50679351988386045</v>
      </c>
      <c r="O117" s="231">
        <f t="shared" si="35"/>
        <v>1.3204229220215726</v>
      </c>
      <c r="P117" s="231">
        <f t="shared" si="35"/>
        <v>-1.0788095597020346</v>
      </c>
      <c r="Q117" s="231">
        <f t="shared" si="35"/>
        <v>0.32262407674238602</v>
      </c>
      <c r="R117" s="231">
        <f t="shared" si="35"/>
        <v>1.7840875506406002</v>
      </c>
      <c r="S117" s="231">
        <f t="shared" si="35"/>
        <v>1.7904787620517313</v>
      </c>
      <c r="T117" s="232">
        <f t="shared" si="35"/>
        <v>5.5610338884732498</v>
      </c>
      <c r="U117" s="233">
        <f t="shared" si="35"/>
        <v>6.0277536689111173</v>
      </c>
      <c r="W117" s="31" t="s">
        <v>12</v>
      </c>
      <c r="X117" s="234">
        <f t="shared" si="36"/>
        <v>-0.33394505853880413</v>
      </c>
      <c r="Y117" s="235">
        <f t="shared" si="36"/>
        <v>-5.5857672210960767E-2</v>
      </c>
      <c r="Z117" s="235">
        <f t="shared" si="36"/>
        <v>0.18676861834868447</v>
      </c>
      <c r="AA117" s="235">
        <f t="shared" si="36"/>
        <v>-0.16155394729750724</v>
      </c>
      <c r="AB117" s="235">
        <f t="shared" si="36"/>
        <v>4.0012877151081101E-2</v>
      </c>
      <c r="AC117" s="235">
        <f t="shared" si="36"/>
        <v>0.23310225089409084</v>
      </c>
      <c r="AD117" s="235">
        <f t="shared" si="36"/>
        <v>0.23880977919542026</v>
      </c>
      <c r="AE117" s="236">
        <f t="shared" si="36"/>
        <v>0.82804980084057667</v>
      </c>
      <c r="AF117" s="237">
        <f t="shared" si="36"/>
        <v>9.6864116605494363E-2</v>
      </c>
    </row>
    <row r="118" spans="1:32">
      <c r="A118" s="31" t="s">
        <v>13</v>
      </c>
      <c r="B118" s="229">
        <f>SUM(B159,B215)*'[1]Universal data'!$F$40</f>
        <v>10.22073485921053</v>
      </c>
      <c r="C118" s="110">
        <f>SUM(C159,C215)*'[1]Universal data'!$F$40</f>
        <v>8.136962892305208</v>
      </c>
      <c r="D118" s="110">
        <f>SUM(D159,D215)*'[1]Universal data'!$F$40</f>
        <v>5.6518645249353217</v>
      </c>
      <c r="E118" s="110">
        <f>SUM(E159,E215)*'[1]Universal data'!$F$40</f>
        <v>5.1144540606872377</v>
      </c>
      <c r="F118" s="110">
        <f>SUM(F159,F215)*'[1]Universal data'!$F$40</f>
        <v>2.5264086108476618</v>
      </c>
      <c r="G118" s="110">
        <f>SUM(G159,G215)*'[1]Universal data'!$F$40</f>
        <v>2.9258500861067476</v>
      </c>
      <c r="H118" s="110">
        <f>SUM(H159,H215)*'[1]Universal data'!$F$40</f>
        <v>6.3775696376484978</v>
      </c>
      <c r="I118" s="111">
        <f>SUM(I159,I215)*'[1]Universal data'!$F$40</f>
        <v>6.0979650808537169</v>
      </c>
      <c r="J118" s="33">
        <f>SUM(J159,J215)*'[1]Universal data'!$F$40</f>
        <v>47.051809752594927</v>
      </c>
      <c r="K118" s="211"/>
      <c r="L118" s="31" t="s">
        <v>13</v>
      </c>
      <c r="M118" s="230">
        <f t="shared" si="35"/>
        <v>-4.1784665680215154</v>
      </c>
      <c r="N118" s="238">
        <f t="shared" si="35"/>
        <v>-2.1566228789513646</v>
      </c>
      <c r="O118" s="238">
        <f t="shared" si="35"/>
        <v>-0.250172682459608</v>
      </c>
      <c r="P118" s="238">
        <f t="shared" si="35"/>
        <v>-0.62646947529880492</v>
      </c>
      <c r="Q118" s="238">
        <f t="shared" si="35"/>
        <v>-0.1642391575451998</v>
      </c>
      <c r="R118" s="238">
        <f t="shared" si="35"/>
        <v>4.637941503299718</v>
      </c>
      <c r="S118" s="238">
        <f t="shared" si="35"/>
        <v>-1.4149581476484974</v>
      </c>
      <c r="T118" s="239">
        <f t="shared" si="35"/>
        <v>2.3753696610101684</v>
      </c>
      <c r="U118" s="233">
        <f t="shared" si="35"/>
        <v>-1.7776177456151032</v>
      </c>
      <c r="W118" s="31" t="s">
        <v>13</v>
      </c>
      <c r="X118" s="234">
        <f t="shared" si="36"/>
        <v>-0.40882251869160302</v>
      </c>
      <c r="Y118" s="240">
        <f t="shared" si="36"/>
        <v>-0.26504027454651347</v>
      </c>
      <c r="Z118" s="240">
        <f t="shared" si="36"/>
        <v>-4.4263743647052635E-2</v>
      </c>
      <c r="AA118" s="240">
        <f t="shared" si="36"/>
        <v>-0.1224899994926585</v>
      </c>
      <c r="AB118" s="240">
        <f t="shared" si="36"/>
        <v>-6.5008944649731143E-2</v>
      </c>
      <c r="AC118" s="240">
        <f t="shared" si="36"/>
        <v>1.585160335221121</v>
      </c>
      <c r="AD118" s="240">
        <f t="shared" si="36"/>
        <v>-0.22186478988729832</v>
      </c>
      <c r="AE118" s="241">
        <f t="shared" si="36"/>
        <v>0.38953480866401025</v>
      </c>
      <c r="AF118" s="237">
        <f t="shared" si="36"/>
        <v>-3.7780007930875957E-2</v>
      </c>
    </row>
    <row r="119" spans="1:32">
      <c r="A119" s="35" t="s">
        <v>14</v>
      </c>
      <c r="B119" s="36">
        <f>SUM(B160,B216)*'[1]Universal data'!$F$40</f>
        <v>73.094118827074922</v>
      </c>
      <c r="C119" s="36">
        <f>SUM(C160,C216)*'[1]Universal data'!$F$40</f>
        <v>71.915258541057497</v>
      </c>
      <c r="D119" s="42">
        <f>SUM(D160,D216)*'[1]Universal data'!$F$40</f>
        <v>63.320061839267218</v>
      </c>
      <c r="E119" s="42">
        <f>SUM(E160,E216)*'[1]Universal data'!$F$40</f>
        <v>67.08812725512783</v>
      </c>
      <c r="F119" s="42">
        <f>SUM(F160,F216)*'[1]Universal data'!$F$40</f>
        <v>67.752678194706732</v>
      </c>
      <c r="G119" s="42">
        <f>SUM(G160,G216)*'[1]Universal data'!$F$40</f>
        <v>60.938465509849969</v>
      </c>
      <c r="H119" s="42">
        <f>SUM(H160,H216)*'[1]Universal data'!$F$40</f>
        <v>60.305970060378286</v>
      </c>
      <c r="I119" s="42">
        <f>SUM(I160,I216)*'[1]Universal data'!$F$40</f>
        <v>62.662298192435173</v>
      </c>
      <c r="J119" s="36">
        <f>SUM(J160,J216)*'[1]Universal data'!$F$40</f>
        <v>527.07697841989773</v>
      </c>
      <c r="K119" s="211"/>
      <c r="L119" s="35" t="s">
        <v>14</v>
      </c>
      <c r="M119" s="242">
        <f t="shared" si="35"/>
        <v>-14.184375113147738</v>
      </c>
      <c r="N119" s="73">
        <f t="shared" si="35"/>
        <v>-22.86923106913374</v>
      </c>
      <c r="O119" s="187">
        <f t="shared" si="35"/>
        <v>-8.6267135040059415</v>
      </c>
      <c r="P119" s="187">
        <f t="shared" si="35"/>
        <v>-14.220704002178778</v>
      </c>
      <c r="Q119" s="187">
        <f t="shared" si="35"/>
        <v>-15.398782220688787</v>
      </c>
      <c r="R119" s="187">
        <f t="shared" si="35"/>
        <v>-4.4326370925736782</v>
      </c>
      <c r="S119" s="187">
        <f t="shared" si="35"/>
        <v>-9.1812771179934956</v>
      </c>
      <c r="T119" s="187">
        <f t="shared" si="35"/>
        <v>-3.5994715302892644</v>
      </c>
      <c r="U119" s="242">
        <f t="shared" si="35"/>
        <v>-92.513191650011549</v>
      </c>
      <c r="W119" s="35" t="s">
        <v>14</v>
      </c>
      <c r="X119" s="243">
        <f t="shared" si="36"/>
        <v>-0.19405631179034993</v>
      </c>
      <c r="Y119" s="244">
        <f t="shared" si="36"/>
        <v>-0.31800248699762867</v>
      </c>
      <c r="Z119" s="245">
        <f t="shared" si="36"/>
        <v>-0.13623981489317155</v>
      </c>
      <c r="AA119" s="245">
        <f t="shared" si="36"/>
        <v>-0.21197050184601521</v>
      </c>
      <c r="AB119" s="245">
        <f t="shared" si="36"/>
        <v>-0.22727931398425277</v>
      </c>
      <c r="AC119" s="245">
        <f t="shared" si="36"/>
        <v>-7.2739558757960454E-2</v>
      </c>
      <c r="AD119" s="245">
        <f t="shared" si="36"/>
        <v>-0.15224491221683706</v>
      </c>
      <c r="AE119" s="245">
        <f t="shared" si="36"/>
        <v>-5.7442379774123989E-2</v>
      </c>
      <c r="AF119" s="243">
        <f t="shared" si="36"/>
        <v>-0.17552121499852455</v>
      </c>
    </row>
    <row r="120" spans="1:32">
      <c r="A120" s="24" t="s">
        <v>15</v>
      </c>
      <c r="B120" s="246">
        <f>SUM(B161,B217)*'[1]Universal data'!$F$40</f>
        <v>6.1826258207427873</v>
      </c>
      <c r="C120" s="96">
        <f>SUM(C161,C217)*'[1]Universal data'!$F$40</f>
        <v>1.7412587602499106</v>
      </c>
      <c r="D120" s="96">
        <f>SUM(D161,D217)*'[1]Universal data'!$F$40</f>
        <v>2.3634931171108651</v>
      </c>
      <c r="E120" s="96">
        <f>SUM(E161,E217)*'[1]Universal data'!$F$40</f>
        <v>2.0499925057557395</v>
      </c>
      <c r="F120" s="96">
        <f>SUM(F161,F217)*'[1]Universal data'!$F$40</f>
        <v>2.3542447023569784</v>
      </c>
      <c r="G120" s="96">
        <f>SUM(G161,G217)*'[1]Universal data'!$F$40</f>
        <v>1.6161162548342998</v>
      </c>
      <c r="H120" s="96">
        <f>SUM(H161,H217)*'[1]Universal data'!$F$40</f>
        <v>1.9705085978582999</v>
      </c>
      <c r="I120" s="97">
        <f>SUM(I161,I217)*'[1]Universal data'!$F$40</f>
        <v>2.0849634668243082</v>
      </c>
      <c r="J120" s="30">
        <f>SUM(J161,J217)*'[1]Universal data'!$F$40</f>
        <v>20.363203225733187</v>
      </c>
      <c r="K120" s="211"/>
      <c r="L120" s="24" t="s">
        <v>15</v>
      </c>
      <c r="M120" s="212">
        <f t="shared" si="35"/>
        <v>68.275271260101547</v>
      </c>
      <c r="N120" s="213">
        <f t="shared" si="35"/>
        <v>65.234341938206015</v>
      </c>
      <c r="O120" s="213">
        <f t="shared" si="35"/>
        <v>61.379227093855604</v>
      </c>
      <c r="P120" s="213">
        <f t="shared" si="35"/>
        <v>62.257623260195501</v>
      </c>
      <c r="Q120" s="213">
        <f t="shared" si="35"/>
        <v>52.998636744815975</v>
      </c>
      <c r="R120" s="213">
        <f t="shared" si="35"/>
        <v>60.602563877145784</v>
      </c>
      <c r="S120" s="213">
        <f t="shared" si="35"/>
        <v>58.579695396086727</v>
      </c>
      <c r="T120" s="213">
        <f t="shared" si="35"/>
        <v>67.868367675169452</v>
      </c>
      <c r="U120" s="247">
        <f t="shared" si="35"/>
        <v>497.19572724557656</v>
      </c>
      <c r="W120" s="24" t="s">
        <v>15</v>
      </c>
      <c r="X120" s="216">
        <f t="shared" si="36"/>
        <v>11.043086423091813</v>
      </c>
      <c r="Y120" s="217">
        <f t="shared" si="36"/>
        <v>37.463898776792597</v>
      </c>
      <c r="Z120" s="217">
        <f t="shared" si="36"/>
        <v>25.969708415688384</v>
      </c>
      <c r="AA120" s="217">
        <f t="shared" si="36"/>
        <v>30.369683345375904</v>
      </c>
      <c r="AB120" s="217">
        <f t="shared" si="36"/>
        <v>22.511949030513183</v>
      </c>
      <c r="AC120" s="217">
        <f t="shared" si="36"/>
        <v>37.498888892346024</v>
      </c>
      <c r="AD120" s="217">
        <f t="shared" si="36"/>
        <v>29.728211010982463</v>
      </c>
      <c r="AE120" s="217">
        <f t="shared" si="36"/>
        <v>32.551346225045613</v>
      </c>
      <c r="AF120" s="248">
        <f t="shared" si="36"/>
        <v>24.416380946258261</v>
      </c>
    </row>
    <row r="121" spans="1:32">
      <c r="A121" s="24" t="s">
        <v>16</v>
      </c>
      <c r="B121" s="220">
        <f>SUM(B162,B218)*'[1]Universal data'!$F$40</f>
        <v>0</v>
      </c>
      <c r="C121" s="96">
        <f>SUM(C162,C218)*'[1]Universal data'!$F$40</f>
        <v>0</v>
      </c>
      <c r="D121" s="96">
        <f>SUM(D162,D218)*'[1]Universal data'!$F$40</f>
        <v>0</v>
      </c>
      <c r="E121" s="96">
        <f>SUM(E162,E218)*'[1]Universal data'!$F$40</f>
        <v>0</v>
      </c>
      <c r="F121" s="96">
        <f>SUM(F162,F218)*'[1]Universal data'!$F$40</f>
        <v>0</v>
      </c>
      <c r="G121" s="96">
        <f>SUM(G162,G218)*'[1]Universal data'!$F$40</f>
        <v>0</v>
      </c>
      <c r="H121" s="96">
        <f>SUM(H162,H218)*'[1]Universal data'!$F$40</f>
        <v>0</v>
      </c>
      <c r="I121" s="97">
        <f>SUM(I162,I218)*'[1]Universal data'!$F$40</f>
        <v>0</v>
      </c>
      <c r="J121" s="30">
        <f>SUM(J162,J218)*'[1]Universal data'!$F$40</f>
        <v>0</v>
      </c>
      <c r="K121" s="211"/>
      <c r="L121" s="24" t="s">
        <v>16</v>
      </c>
      <c r="M121" s="221">
        <f t="shared" si="35"/>
        <v>6.9609215314251163</v>
      </c>
      <c r="N121" s="222">
        <f t="shared" si="35"/>
        <v>17.829749641070684</v>
      </c>
      <c r="O121" s="222">
        <f t="shared" si="35"/>
        <v>20.149457368618517</v>
      </c>
      <c r="P121" s="222">
        <f t="shared" si="35"/>
        <v>18.213933331305544</v>
      </c>
      <c r="Q121" s="222">
        <f t="shared" si="35"/>
        <v>14.477828141909681</v>
      </c>
      <c r="R121" s="222">
        <f t="shared" si="35"/>
        <v>15.873084177225584</v>
      </c>
      <c r="S121" s="222">
        <f t="shared" si="35"/>
        <v>17.03352627585457</v>
      </c>
      <c r="T121" s="222">
        <f t="shared" si="35"/>
        <v>8.203692140426547</v>
      </c>
      <c r="U121" s="249">
        <f t="shared" si="35"/>
        <v>118.74219260783624</v>
      </c>
      <c r="W121" s="24" t="s">
        <v>16</v>
      </c>
      <c r="X121" s="225"/>
      <c r="Y121" s="226"/>
      <c r="Z121" s="226"/>
      <c r="AA121" s="226"/>
      <c r="AB121" s="226"/>
      <c r="AC121" s="226"/>
      <c r="AD121" s="226"/>
      <c r="AE121" s="226"/>
      <c r="AF121" s="250"/>
    </row>
    <row r="122" spans="1:32">
      <c r="A122" s="24" t="s">
        <v>50</v>
      </c>
      <c r="B122" s="220">
        <f>SUM(B163,B219)*'[1]Universal data'!$F$40</f>
        <v>0</v>
      </c>
      <c r="C122" s="96">
        <f>SUM(C163,C219)*'[1]Universal data'!$F$40</f>
        <v>0</v>
      </c>
      <c r="D122" s="96">
        <f>SUM(D163,D219)*'[1]Universal data'!$F$40</f>
        <v>0</v>
      </c>
      <c r="E122" s="96">
        <f>SUM(E163,E219)*'[1]Universal data'!$F$40</f>
        <v>0</v>
      </c>
      <c r="F122" s="96">
        <f>SUM(F163,F219)*'[1]Universal data'!$F$40</f>
        <v>0</v>
      </c>
      <c r="G122" s="96">
        <f>SUM(G163,G219)*'[1]Universal data'!$F$40</f>
        <v>0</v>
      </c>
      <c r="H122" s="96">
        <f>SUM(H163,H219)*'[1]Universal data'!$F$40</f>
        <v>0</v>
      </c>
      <c r="I122" s="97">
        <f>SUM(I163,I219)*'[1]Universal data'!$F$40</f>
        <v>0</v>
      </c>
      <c r="J122" s="30">
        <f>SUM(J163,J219)*'[1]Universal data'!$F$40</f>
        <v>0</v>
      </c>
      <c r="K122" s="211"/>
      <c r="L122" s="24" t="s">
        <v>50</v>
      </c>
      <c r="M122" s="251">
        <f t="shared" si="35"/>
        <v>1.7469063757041896</v>
      </c>
      <c r="N122" s="252">
        <f t="shared" si="35"/>
        <v>2.8193558672914545</v>
      </c>
      <c r="O122" s="252">
        <f t="shared" si="35"/>
        <v>2.3768240918003638</v>
      </c>
      <c r="P122" s="252">
        <f t="shared" si="35"/>
        <v>2.0603842203338316</v>
      </c>
      <c r="Q122" s="252">
        <f t="shared" si="35"/>
        <v>1.5374842386796366</v>
      </c>
      <c r="R122" s="252">
        <f t="shared" si="35"/>
        <v>1.8241832816244017</v>
      </c>
      <c r="S122" s="252">
        <f t="shared" si="35"/>
        <v>1.8717134084041456</v>
      </c>
      <c r="T122" s="252">
        <f t="shared" si="35"/>
        <v>1.1214019417475729</v>
      </c>
      <c r="U122" s="253">
        <f t="shared" si="35"/>
        <v>15.358253425585596</v>
      </c>
      <c r="W122" s="24" t="s">
        <v>50</v>
      </c>
      <c r="X122" s="254"/>
      <c r="Y122" s="255"/>
      <c r="Z122" s="255"/>
      <c r="AA122" s="255"/>
      <c r="AB122" s="255"/>
      <c r="AC122" s="255"/>
      <c r="AD122" s="255"/>
      <c r="AE122" s="255"/>
      <c r="AF122" s="256"/>
    </row>
    <row r="123" spans="1:32">
      <c r="A123" s="35" t="s">
        <v>18</v>
      </c>
      <c r="B123" s="125">
        <f>SUM(B164,B220)*'[1]Universal data'!$F$40</f>
        <v>109.21927869997444</v>
      </c>
      <c r="C123" s="126">
        <f>SUM(C164,C220)*'[1]Universal data'!$F$40</f>
        <v>105.09075585810004</v>
      </c>
      <c r="D123" s="126">
        <f>SUM(D164,D220)*'[1]Universal data'!$F$40</f>
        <v>106.58498372983421</v>
      </c>
      <c r="E123" s="126">
        <f>SUM(E164,E220)*'[1]Universal data'!$F$40</f>
        <v>105.82022893849727</v>
      </c>
      <c r="F123" s="126">
        <f>SUM(F164,F220)*'[1]Universal data'!$F$40</f>
        <v>105.36906724632939</v>
      </c>
      <c r="G123" s="126">
        <f>SUM(G164,G220)*'[1]Universal data'!$F$40</f>
        <v>105.36749947858438</v>
      </c>
      <c r="H123" s="126">
        <f>SUM(H164,H220)*'[1]Universal data'!$F$40</f>
        <v>106.58642713230337</v>
      </c>
      <c r="I123" s="127">
        <f>SUM(I164,I220)*'[1]Universal data'!$F$40</f>
        <v>104.92261463857901</v>
      </c>
      <c r="J123" s="128">
        <f>SUM(J164,J220)*'[1]Universal data'!$F$40</f>
        <v>848.96085572220204</v>
      </c>
      <c r="K123" s="211"/>
      <c r="L123" s="35" t="s">
        <v>18</v>
      </c>
      <c r="M123" s="242">
        <f t="shared" si="35"/>
        <v>-26.053553712000806</v>
      </c>
      <c r="N123" s="187">
        <f t="shared" si="35"/>
        <v>-17.466049651281992</v>
      </c>
      <c r="O123" s="242">
        <f t="shared" si="35"/>
        <v>-20.315982058448867</v>
      </c>
      <c r="P123" s="74">
        <f t="shared" si="35"/>
        <v>-21.238295620906655</v>
      </c>
      <c r="Q123" s="242">
        <f t="shared" si="35"/>
        <v>-34.000873418567124</v>
      </c>
      <c r="R123" s="242">
        <f t="shared" si="35"/>
        <v>-25.451551887754306</v>
      </c>
      <c r="S123" s="242">
        <f t="shared" si="35"/>
        <v>-27.130983454099635</v>
      </c>
      <c r="T123" s="242">
        <f t="shared" si="35"/>
        <v>-25.644189414411116</v>
      </c>
      <c r="U123" s="187">
        <f t="shared" si="35"/>
        <v>-197.3014792174705</v>
      </c>
      <c r="W123" s="35" t="s">
        <v>18</v>
      </c>
      <c r="X123" s="243">
        <f t="shared" si="36"/>
        <v>-0.23854354306413217</v>
      </c>
      <c r="Y123" s="245">
        <f t="shared" si="36"/>
        <v>-0.16619967673337244</v>
      </c>
      <c r="Z123" s="243">
        <f t="shared" si="36"/>
        <v>-0.19060829534810184</v>
      </c>
      <c r="AA123" s="257">
        <f t="shared" si="36"/>
        <v>-0.20070166010744842</v>
      </c>
      <c r="AB123" s="243">
        <f t="shared" si="36"/>
        <v>-0.32268363294021252</v>
      </c>
      <c r="AC123" s="243">
        <f t="shared" si="36"/>
        <v>-0.24155030738797456</v>
      </c>
      <c r="AD123" s="243">
        <f t="shared" si="36"/>
        <v>-0.25454444983339714</v>
      </c>
      <c r="AE123" s="243">
        <f t="shared" si="36"/>
        <v>-0.24441050676011272</v>
      </c>
      <c r="AF123" s="245">
        <f t="shared" si="36"/>
        <v>-0.23240350587145531</v>
      </c>
    </row>
    <row r="124" spans="1:32">
      <c r="A124" s="44" t="s">
        <v>19</v>
      </c>
      <c r="B124" s="220">
        <f>SUM(B165,B221)*'[1]Universal data'!$F$40</f>
        <v>25.693588424268231</v>
      </c>
      <c r="C124" s="96">
        <f>SUM(C165,C221)*'[1]Universal data'!$F$40</f>
        <v>25.836281287004518</v>
      </c>
      <c r="D124" s="96">
        <f>SUM(D165,D221)*'[1]Universal data'!$F$40</f>
        <v>28.367568076025396</v>
      </c>
      <c r="E124" s="96">
        <f>SUM(E165,E221)*'[1]Universal data'!$F$40</f>
        <v>26.840494619525835</v>
      </c>
      <c r="F124" s="96">
        <f>SUM(F165,F221)*'[1]Universal data'!$F$40</f>
        <v>25.620741217626637</v>
      </c>
      <c r="G124" s="96">
        <f>SUM(G165,G221)*'[1]Universal data'!$F$40</f>
        <v>26.963777685895099</v>
      </c>
      <c r="H124" s="96">
        <f>SUM(H165,H221)*'[1]Universal data'!$F$40</f>
        <v>27.326750191759778</v>
      </c>
      <c r="I124" s="97">
        <f>SUM(I165,I221)*'[1]Universal data'!$F$40</f>
        <v>25.017291563852588</v>
      </c>
      <c r="J124" s="30">
        <f>SUM(J165,J221)*'[1]Universal data'!$F$40</f>
        <v>211.66649306595806</v>
      </c>
      <c r="K124" s="211"/>
      <c r="L124" s="44" t="s">
        <v>19</v>
      </c>
      <c r="M124" s="73">
        <f t="shared" si="35"/>
        <v>0.5157438981254252</v>
      </c>
      <c r="N124" s="213">
        <f t="shared" si="35"/>
        <v>-2.8981221487825515</v>
      </c>
      <c r="O124" s="213">
        <f t="shared" si="35"/>
        <v>-5.2785048859733301</v>
      </c>
      <c r="P124" s="213">
        <f t="shared" si="35"/>
        <v>-5.029317232813419</v>
      </c>
      <c r="Q124" s="213">
        <f t="shared" si="35"/>
        <v>-4.7739856961998264</v>
      </c>
      <c r="R124" s="213">
        <f t="shared" si="35"/>
        <v>-7.5744858738191461</v>
      </c>
      <c r="S124" s="213">
        <f t="shared" si="35"/>
        <v>-5.2980082509755704</v>
      </c>
      <c r="T124" s="213">
        <f t="shared" si="35"/>
        <v>-1.0687071795174639</v>
      </c>
      <c r="U124" s="183">
        <f t="shared" si="35"/>
        <v>-31.405387369955832</v>
      </c>
      <c r="W124" s="44" t="s">
        <v>19</v>
      </c>
      <c r="X124" s="244">
        <f t="shared" si="36"/>
        <v>2.0072863689148703E-2</v>
      </c>
      <c r="Y124" s="217">
        <f t="shared" si="36"/>
        <v>-0.11217257300261273</v>
      </c>
      <c r="Z124" s="217">
        <f t="shared" si="36"/>
        <v>-0.18607534039671214</v>
      </c>
      <c r="AA124" s="217">
        <f t="shared" si="36"/>
        <v>-0.18737796393493836</v>
      </c>
      <c r="AB124" s="217">
        <f t="shared" si="36"/>
        <v>-0.18633284867322281</v>
      </c>
      <c r="AC124" s="217">
        <f t="shared" si="36"/>
        <v>-0.28091337801607086</v>
      </c>
      <c r="AD124" s="217">
        <f t="shared" si="36"/>
        <v>-0.19387626460511773</v>
      </c>
      <c r="AE124" s="217">
        <f t="shared" si="36"/>
        <v>-4.271874022772456E-2</v>
      </c>
      <c r="AF124" s="258">
        <f t="shared" si="36"/>
        <v>-0.14837203052336442</v>
      </c>
    </row>
    <row r="125" spans="1:32">
      <c r="A125" s="44" t="s">
        <v>20</v>
      </c>
      <c r="B125" s="220">
        <f>SUM(B166,B222)*'[1]Universal data'!$F$40</f>
        <v>17.723037864153262</v>
      </c>
      <c r="C125" s="96">
        <f>SUM(C166,C222)*'[1]Universal data'!$F$40</f>
        <v>17.627133497916152</v>
      </c>
      <c r="D125" s="96">
        <f>SUM(D166,D222)*'[1]Universal data'!$F$40</f>
        <v>17.83439318563331</v>
      </c>
      <c r="E125" s="96">
        <f>SUM(E166,E222)*'[1]Universal data'!$F$40</f>
        <v>18.036062881749398</v>
      </c>
      <c r="F125" s="96">
        <f>SUM(F166,F222)*'[1]Universal data'!$F$40</f>
        <v>17.913419376200434</v>
      </c>
      <c r="G125" s="96">
        <f>SUM(G166,G222)*'[1]Universal data'!$F$40</f>
        <v>17.856544805555178</v>
      </c>
      <c r="H125" s="96">
        <f>SUM(H166,H222)*'[1]Universal data'!$F$40</f>
        <v>17.762158815678909</v>
      </c>
      <c r="I125" s="97">
        <f>SUM(I166,I222)*'[1]Universal data'!$F$40</f>
        <v>18.495241707437103</v>
      </c>
      <c r="J125" s="30">
        <f>SUM(J166,J222)*'[1]Universal data'!$F$40</f>
        <v>143.24799213432377</v>
      </c>
      <c r="K125" s="211"/>
      <c r="L125" s="44" t="s">
        <v>20</v>
      </c>
      <c r="M125" s="221">
        <f t="shared" si="35"/>
        <v>-6.3946683028603797</v>
      </c>
      <c r="N125" s="222">
        <f t="shared" si="35"/>
        <v>-5.9512872593725525</v>
      </c>
      <c r="O125" s="222">
        <f t="shared" si="35"/>
        <v>-7.8321903035734763</v>
      </c>
      <c r="P125" s="222">
        <f t="shared" si="35"/>
        <v>-7.4200060872246976</v>
      </c>
      <c r="Q125" s="222">
        <f t="shared" si="35"/>
        <v>-7.4273769211557479</v>
      </c>
      <c r="R125" s="222">
        <f t="shared" si="35"/>
        <v>-8.4865459642448844</v>
      </c>
      <c r="S125" s="222">
        <f t="shared" si="35"/>
        <v>-8.9029155814459298</v>
      </c>
      <c r="T125" s="222">
        <f t="shared" si="35"/>
        <v>-10.273115041843829</v>
      </c>
      <c r="U125" s="183">
        <f t="shared" si="35"/>
        <v>-62.68810546172152</v>
      </c>
      <c r="W125" s="44" t="s">
        <v>20</v>
      </c>
      <c r="X125" s="225">
        <f t="shared" si="36"/>
        <v>-0.36081107267700868</v>
      </c>
      <c r="Y125" s="226">
        <f t="shared" si="36"/>
        <v>-0.33762081963446317</v>
      </c>
      <c r="Z125" s="226">
        <f t="shared" si="36"/>
        <v>-0.43916214148978072</v>
      </c>
      <c r="AA125" s="226">
        <f t="shared" si="36"/>
        <v>-0.41139832655678776</v>
      </c>
      <c r="AB125" s="226">
        <f t="shared" si="36"/>
        <v>-0.41462641861797067</v>
      </c>
      <c r="AC125" s="226">
        <f t="shared" si="36"/>
        <v>-0.47526249096100143</v>
      </c>
      <c r="AD125" s="226">
        <f t="shared" si="36"/>
        <v>-0.50122936484427782</v>
      </c>
      <c r="AE125" s="226">
        <f t="shared" si="36"/>
        <v>-0.5554463793632346</v>
      </c>
      <c r="AF125" s="258">
        <f t="shared" si="36"/>
        <v>-0.43761943555159105</v>
      </c>
    </row>
    <row r="126" spans="1:32">
      <c r="A126" s="44" t="s">
        <v>21</v>
      </c>
      <c r="B126" s="220">
        <f>SUM(B167,B223)*'[1]Universal data'!$F$40</f>
        <v>15.6031425815922</v>
      </c>
      <c r="C126" s="96">
        <f>SUM(C167,C223)*'[1]Universal data'!$F$40</f>
        <v>15.263898807892229</v>
      </c>
      <c r="D126" s="96">
        <f>SUM(D167,D223)*'[1]Universal data'!$F$40</f>
        <v>14.982114874726337</v>
      </c>
      <c r="E126" s="96">
        <f>SUM(E167,E223)*'[1]Universal data'!$F$40</f>
        <v>14.724269595214247</v>
      </c>
      <c r="F126" s="96">
        <f>SUM(F167,F223)*'[1]Universal data'!$F$40</f>
        <v>14.460356750912517</v>
      </c>
      <c r="G126" s="96">
        <f>SUM(G167,G223)*'[1]Universal data'!$F$40</f>
        <v>14.33567669881597</v>
      </c>
      <c r="H126" s="96">
        <f>SUM(H167,H223)*'[1]Universal data'!$F$40</f>
        <v>14.040063384673255</v>
      </c>
      <c r="I126" s="97">
        <f>SUM(I167,I223)*'[1]Universal data'!$F$40</f>
        <v>13.785854774737931</v>
      </c>
      <c r="J126" s="30">
        <f>SUM(J167,J223)*'[1]Universal data'!$F$40</f>
        <v>117.1953774685647</v>
      </c>
      <c r="K126" s="211"/>
      <c r="L126" s="44" t="s">
        <v>21</v>
      </c>
      <c r="M126" s="221">
        <f t="shared" si="35"/>
        <v>-4.4983825525071488</v>
      </c>
      <c r="N126" s="222">
        <f t="shared" si="35"/>
        <v>-4.0791898409118073</v>
      </c>
      <c r="O126" s="222">
        <f t="shared" si="35"/>
        <v>-5.4971265699954426</v>
      </c>
      <c r="P126" s="222">
        <f t="shared" si="35"/>
        <v>-3.9133140799584343</v>
      </c>
      <c r="Q126" s="222">
        <f t="shared" si="35"/>
        <v>-6.1410934149852388</v>
      </c>
      <c r="R126" s="222">
        <f t="shared" si="35"/>
        <v>-5.4408094941515284</v>
      </c>
      <c r="S126" s="222">
        <f t="shared" si="35"/>
        <v>-4.2526874006255273</v>
      </c>
      <c r="T126" s="222">
        <f t="shared" si="35"/>
        <v>-6.0399837708007809</v>
      </c>
      <c r="U126" s="183">
        <f t="shared" si="35"/>
        <v>-39.862587123935924</v>
      </c>
      <c r="W126" s="44" t="s">
        <v>21</v>
      </c>
      <c r="X126" s="225">
        <f t="shared" si="36"/>
        <v>-0.28829977864934164</v>
      </c>
      <c r="Y126" s="226">
        <f t="shared" si="36"/>
        <v>-0.26724429270997618</v>
      </c>
      <c r="Z126" s="226">
        <f t="shared" si="36"/>
        <v>-0.36691258984195002</v>
      </c>
      <c r="AA126" s="226">
        <f t="shared" si="36"/>
        <v>-0.26577305275844437</v>
      </c>
      <c r="AB126" s="226">
        <f t="shared" si="36"/>
        <v>-0.42468477927404569</v>
      </c>
      <c r="AC126" s="226">
        <f t="shared" si="36"/>
        <v>-0.37952931057666101</v>
      </c>
      <c r="AD126" s="226">
        <f t="shared" si="36"/>
        <v>-0.30289659555724985</v>
      </c>
      <c r="AE126" s="226">
        <f t="shared" si="36"/>
        <v>-0.43812907284275382</v>
      </c>
      <c r="AF126" s="258">
        <f t="shared" si="36"/>
        <v>-0.34013787902708242</v>
      </c>
    </row>
    <row r="127" spans="1:32">
      <c r="A127" s="44" t="s">
        <v>22</v>
      </c>
      <c r="B127" s="220">
        <f>SUM(B168,B224)*'[1]Universal data'!$F$40</f>
        <v>14.049970697667138</v>
      </c>
      <c r="C127" s="96">
        <f>SUM(C168,C224)*'[1]Universal data'!$F$40</f>
        <v>14.235300968730671</v>
      </c>
      <c r="D127" s="96">
        <f>SUM(D168,D224)*'[1]Universal data'!$F$40</f>
        <v>14.475128595185192</v>
      </c>
      <c r="E127" s="96">
        <f>SUM(E168,E224)*'[1]Universal data'!$F$40</f>
        <v>14.769787452050897</v>
      </c>
      <c r="F127" s="96">
        <f>SUM(F168,F224)*'[1]Universal data'!$F$40</f>
        <v>14.603781868135911</v>
      </c>
      <c r="G127" s="96">
        <f>SUM(G168,G224)*'[1]Universal data'!$F$40</f>
        <v>14.630761243342736</v>
      </c>
      <c r="H127" s="96">
        <f>SUM(H168,H224)*'[1]Universal data'!$F$40</f>
        <v>14.471958800191084</v>
      </c>
      <c r="I127" s="97">
        <f>SUM(I168,I224)*'[1]Universal data'!$F$40</f>
        <v>14.489580347656789</v>
      </c>
      <c r="J127" s="30">
        <f>SUM(J168,J224)*'[1]Universal data'!$F$40</f>
        <v>115.72626997296042</v>
      </c>
      <c r="K127" s="211"/>
      <c r="L127" s="44" t="s">
        <v>22</v>
      </c>
      <c r="M127" s="221">
        <f t="shared" si="35"/>
        <v>2.2973659202481755</v>
      </c>
      <c r="N127" s="222">
        <f t="shared" si="35"/>
        <v>5.9178175972192886</v>
      </c>
      <c r="O127" s="222">
        <f t="shared" si="35"/>
        <v>4.597618053765034</v>
      </c>
      <c r="P127" s="222">
        <f t="shared" si="35"/>
        <v>4.6569185879410551</v>
      </c>
      <c r="Q127" s="222">
        <f t="shared" si="35"/>
        <v>1.6841670417937351</v>
      </c>
      <c r="R127" s="222">
        <f t="shared" si="35"/>
        <v>3.3624663781176665</v>
      </c>
      <c r="S127" s="222">
        <f t="shared" si="35"/>
        <v>3.0166476806699958</v>
      </c>
      <c r="T127" s="222">
        <f t="shared" si="35"/>
        <v>1.300507440614421</v>
      </c>
      <c r="U127" s="183">
        <f t="shared" si="35"/>
        <v>26.833508700369364</v>
      </c>
      <c r="W127" s="44" t="s">
        <v>22</v>
      </c>
      <c r="X127" s="225">
        <f t="shared" si="36"/>
        <v>0.16351392965037506</v>
      </c>
      <c r="Y127" s="226">
        <f t="shared" si="36"/>
        <v>0.41571425923613375</v>
      </c>
      <c r="Z127" s="226">
        <f t="shared" si="36"/>
        <v>0.31762191427399977</v>
      </c>
      <c r="AA127" s="226">
        <f t="shared" si="36"/>
        <v>0.31530031173836603</v>
      </c>
      <c r="AB127" s="226">
        <f t="shared" si="36"/>
        <v>0.11532403434951534</v>
      </c>
      <c r="AC127" s="226">
        <f t="shared" si="36"/>
        <v>0.22982169705268413</v>
      </c>
      <c r="AD127" s="226">
        <f t="shared" si="36"/>
        <v>0.2084477797594452</v>
      </c>
      <c r="AE127" s="226">
        <f t="shared" si="36"/>
        <v>8.9754665726032232E-2</v>
      </c>
      <c r="AF127" s="258">
        <f t="shared" si="36"/>
        <v>0.23187050534540726</v>
      </c>
    </row>
    <row r="128" spans="1:32">
      <c r="A128" s="44" t="s">
        <v>23</v>
      </c>
      <c r="B128" s="220">
        <f>SUM(B169,B225)*'[1]Universal data'!$F$40</f>
        <v>0</v>
      </c>
      <c r="C128" s="96">
        <f>SUM(C169,C225)*'[1]Universal data'!$F$40</f>
        <v>0</v>
      </c>
      <c r="D128" s="96">
        <f>SUM(D169,D225)*'[1]Universal data'!$F$40</f>
        <v>0</v>
      </c>
      <c r="E128" s="96">
        <f>SUM(E169,E225)*'[1]Universal data'!$F$40</f>
        <v>0</v>
      </c>
      <c r="F128" s="96">
        <f>SUM(F169,F225)*'[1]Universal data'!$F$40</f>
        <v>0</v>
      </c>
      <c r="G128" s="96">
        <f>SUM(G169,G225)*'[1]Universal data'!$F$40</f>
        <v>0</v>
      </c>
      <c r="H128" s="96">
        <f>SUM(H169,H225)*'[1]Universal data'!$F$40</f>
        <v>0</v>
      </c>
      <c r="I128" s="97">
        <f>SUM(I169,I225)*'[1]Universal data'!$F$40</f>
        <v>0</v>
      </c>
      <c r="J128" s="30">
        <f>SUM(J169,J225)*'[1]Universal data'!$F$40</f>
        <v>0</v>
      </c>
      <c r="K128" s="211"/>
      <c r="L128" s="44" t="s">
        <v>23</v>
      </c>
      <c r="M128" s="221">
        <f t="shared" si="35"/>
        <v>0</v>
      </c>
      <c r="N128" s="222">
        <f t="shared" si="35"/>
        <v>0</v>
      </c>
      <c r="O128" s="222">
        <f t="shared" si="35"/>
        <v>0</v>
      </c>
      <c r="P128" s="222">
        <f t="shared" si="35"/>
        <v>0</v>
      </c>
      <c r="Q128" s="222">
        <f t="shared" si="35"/>
        <v>0</v>
      </c>
      <c r="R128" s="222">
        <f t="shared" si="35"/>
        <v>0</v>
      </c>
      <c r="S128" s="222">
        <f t="shared" si="35"/>
        <v>0</v>
      </c>
      <c r="T128" s="222">
        <f t="shared" si="35"/>
        <v>0</v>
      </c>
      <c r="U128" s="183">
        <f t="shared" si="35"/>
        <v>0</v>
      </c>
      <c r="W128" s="44" t="s">
        <v>23</v>
      </c>
      <c r="X128" s="225"/>
      <c r="Y128" s="226"/>
      <c r="Z128" s="226"/>
      <c r="AA128" s="226"/>
      <c r="AB128" s="226"/>
      <c r="AC128" s="226"/>
      <c r="AD128" s="226"/>
      <c r="AE128" s="226"/>
      <c r="AF128" s="258"/>
    </row>
    <row r="129" spans="1:32">
      <c r="A129" s="44" t="s">
        <v>24</v>
      </c>
      <c r="B129" s="220">
        <f>SUM(B170,B226)*'[1]Universal data'!$F$40</f>
        <v>9.526060851989623</v>
      </c>
      <c r="C129" s="96">
        <f>SUM(C170,C226)*'[1]Universal data'!$F$40</f>
        <v>8.1162196847619281</v>
      </c>
      <c r="D129" s="96">
        <f>SUM(D170,D226)*'[1]Universal data'!$F$40</f>
        <v>8.9159313776978983</v>
      </c>
      <c r="E129" s="96">
        <f>SUM(E170,E226)*'[1]Universal data'!$F$40</f>
        <v>8.9264846162004989</v>
      </c>
      <c r="F129" s="96">
        <f>SUM(F170,F226)*'[1]Universal data'!$F$40</f>
        <v>6.7516118521962403</v>
      </c>
      <c r="G129" s="96">
        <f>SUM(G170,G226)*'[1]Universal data'!$F$40</f>
        <v>6.2288639472377758</v>
      </c>
      <c r="H129" s="96">
        <f>SUM(H170,H226)*'[1]Universal data'!$F$40</f>
        <v>5.581715456501497</v>
      </c>
      <c r="I129" s="97">
        <f>SUM(I170,I226)*'[1]Universal data'!$F$40</f>
        <v>4.8880207664389639</v>
      </c>
      <c r="J129" s="30">
        <f>SUM(J170,J226)*'[1]Universal data'!$F$40</f>
        <v>58.934908553024414</v>
      </c>
      <c r="K129" s="211"/>
      <c r="L129" s="44" t="s">
        <v>24</v>
      </c>
      <c r="M129" s="221">
        <f t="shared" si="35"/>
        <v>12.491763023440324</v>
      </c>
      <c r="N129" s="222">
        <f t="shared" si="35"/>
        <v>7.1879212728270296</v>
      </c>
      <c r="O129" s="222">
        <f t="shared" si="35"/>
        <v>-1.3064080795242221</v>
      </c>
      <c r="P129" s="222">
        <f t="shared" si="35"/>
        <v>-1.5699409260705375</v>
      </c>
      <c r="Q129" s="222">
        <f t="shared" si="35"/>
        <v>0.44668852665163161</v>
      </c>
      <c r="R129" s="222">
        <f t="shared" si="35"/>
        <v>-0.47112037964048348</v>
      </c>
      <c r="S129" s="222">
        <f t="shared" si="35"/>
        <v>0.82251502045619418</v>
      </c>
      <c r="T129" s="222">
        <f t="shared" si="35"/>
        <v>1.9269937547825391</v>
      </c>
      <c r="U129" s="183">
        <f t="shared" si="35"/>
        <v>19.528412212922476</v>
      </c>
      <c r="W129" s="44" t="s">
        <v>24</v>
      </c>
      <c r="X129" s="225">
        <f t="shared" si="36"/>
        <v>1.3113251340223468</v>
      </c>
      <c r="Y129" s="226">
        <f t="shared" si="36"/>
        <v>0.88562428716933772</v>
      </c>
      <c r="Z129" s="226">
        <f t="shared" si="36"/>
        <v>-0.14652513844958931</v>
      </c>
      <c r="AA129" s="226">
        <f t="shared" si="36"/>
        <v>-0.17587448963069774</v>
      </c>
      <c r="AB129" s="226">
        <f t="shared" si="36"/>
        <v>6.6160279416288978E-2</v>
      </c>
      <c r="AC129" s="226">
        <f t="shared" si="36"/>
        <v>-7.5635040937024223E-2</v>
      </c>
      <c r="AD129" s="226">
        <f t="shared" si="36"/>
        <v>0.14735882308334819</v>
      </c>
      <c r="AE129" s="226">
        <f t="shared" si="36"/>
        <v>0.39422781670921553</v>
      </c>
      <c r="AF129" s="258">
        <f t="shared" si="36"/>
        <v>0.33135560387529134</v>
      </c>
    </row>
    <row r="130" spans="1:32">
      <c r="A130" s="31" t="s">
        <v>56</v>
      </c>
      <c r="B130" s="229">
        <f>SUM(B171,B227)*'[1]Universal data'!$F$40</f>
        <v>5.7248332004212097</v>
      </c>
      <c r="C130" s="110">
        <f>SUM(C171,C227)*'[1]Universal data'!$F$40</f>
        <v>5.5691618752380254</v>
      </c>
      <c r="D130" s="110">
        <f>SUM(D171,D227)*'[1]Universal data'!$F$40</f>
        <v>6.4257606130233889</v>
      </c>
      <c r="E130" s="110">
        <f>SUM(E171,E227)*'[1]Universal data'!$F$40</f>
        <v>7.0327440308872182</v>
      </c>
      <c r="F130" s="110">
        <f>SUM(F171,F227)*'[1]Universal data'!$F$40</f>
        <v>3.7104510198209435</v>
      </c>
      <c r="G130" s="110">
        <f>SUM(G171,G227)*'[1]Universal data'!$F$40</f>
        <v>3.1074399724828488</v>
      </c>
      <c r="H130" s="110">
        <f>SUM(H171,H227)*'[1]Universal data'!$F$40</f>
        <v>2.4499803351491791</v>
      </c>
      <c r="I130" s="111">
        <f>SUM(I171,I227)*'[1]Universal data'!$F$40</f>
        <v>1.8091562500059624</v>
      </c>
      <c r="J130" s="33">
        <f>SUM(J171,J227)*'[1]Universal data'!$F$40</f>
        <v>35.829527297028783</v>
      </c>
      <c r="K130" s="211"/>
      <c r="L130" s="31" t="s">
        <v>56</v>
      </c>
      <c r="M130" s="230">
        <f t="shared" si="35"/>
        <v>-1.049518517406848</v>
      </c>
      <c r="N130" s="238">
        <f t="shared" si="35"/>
        <v>-0.77365950993593202</v>
      </c>
      <c r="O130" s="238">
        <f t="shared" si="35"/>
        <v>-1.8255593437844402</v>
      </c>
      <c r="P130" s="238">
        <f t="shared" si="35"/>
        <v>-2.9598141660556063</v>
      </c>
      <c r="Q130" s="238">
        <f t="shared" si="35"/>
        <v>-0.18248966155031043</v>
      </c>
      <c r="R130" s="238">
        <f t="shared" si="35"/>
        <v>-0.52459413586940995</v>
      </c>
      <c r="S130" s="238">
        <f t="shared" si="35"/>
        <v>-0.18843641514917886</v>
      </c>
      <c r="T130" s="238">
        <f t="shared" si="35"/>
        <v>0.26875087062178071</v>
      </c>
      <c r="U130" s="259">
        <f t="shared" si="35"/>
        <v>-7.2353208791299508</v>
      </c>
      <c r="W130" s="31" t="s">
        <v>56</v>
      </c>
      <c r="X130" s="234">
        <f t="shared" si="36"/>
        <v>-0.18332735307111284</v>
      </c>
      <c r="Y130" s="240">
        <f t="shared" si="36"/>
        <v>-0.13891848132047085</v>
      </c>
      <c r="Z130" s="240">
        <f t="shared" si="36"/>
        <v>-0.2841001172817571</v>
      </c>
      <c r="AA130" s="240">
        <f t="shared" si="36"/>
        <v>-0.42086192147138474</v>
      </c>
      <c r="AB130" s="240">
        <f t="shared" si="36"/>
        <v>-4.9182608953861597E-2</v>
      </c>
      <c r="AC130" s="240">
        <f t="shared" si="36"/>
        <v>-0.16881875129200277</v>
      </c>
      <c r="AD130" s="240">
        <f t="shared" si="36"/>
        <v>-7.6913439853265181E-2</v>
      </c>
      <c r="AE130" s="240">
        <f t="shared" si="36"/>
        <v>0.1485503922731356</v>
      </c>
      <c r="AF130" s="260">
        <f t="shared" si="36"/>
        <v>-0.2019373802827131</v>
      </c>
    </row>
    <row r="131" spans="1:32">
      <c r="A131" s="47" t="s">
        <v>26</v>
      </c>
      <c r="B131" s="36">
        <f>SUM(B172,B228)*'[1]Universal data'!$F$40</f>
        <v>82.595800419670454</v>
      </c>
      <c r="C131" s="36">
        <f>SUM(C172,C228)*'[1]Universal data'!$F$40</f>
        <v>81.07883424630549</v>
      </c>
      <c r="D131" s="42">
        <f>SUM(D172,D228)*'[1]Universal data'!$F$40</f>
        <v>84.575136109268144</v>
      </c>
      <c r="E131" s="42">
        <f>SUM(E172,E228)*'[1]Universal data'!$F$40</f>
        <v>83.297099164740885</v>
      </c>
      <c r="F131" s="42">
        <f>SUM(F172,F228)*'[1]Universal data'!$F$40</f>
        <v>79.349911065071737</v>
      </c>
      <c r="G131" s="42">
        <f>SUM(G172,G228)*'[1]Universal data'!$F$40</f>
        <v>80.015624380846759</v>
      </c>
      <c r="H131" s="42">
        <f>SUM(H172,H228)*'[1]Universal data'!$F$40</f>
        <v>79.182646648804521</v>
      </c>
      <c r="I131" s="42">
        <f>SUM(I172,I228)*'[1]Universal data'!$F$40</f>
        <v>76.675989160123379</v>
      </c>
      <c r="J131" s="36">
        <f>SUM(J172,J228)*'[1]Universal data'!$F$40</f>
        <v>646.77104119483147</v>
      </c>
      <c r="K131" s="211"/>
      <c r="L131" s="47" t="s">
        <v>26</v>
      </c>
      <c r="M131" s="261">
        <f t="shared" si="35"/>
        <v>4.4118219864463839</v>
      </c>
      <c r="N131" s="262">
        <f t="shared" si="35"/>
        <v>0.1771396209794176</v>
      </c>
      <c r="O131" s="261">
        <f t="shared" si="35"/>
        <v>-15.316611785301447</v>
      </c>
      <c r="P131" s="263">
        <f t="shared" si="35"/>
        <v>-13.275659738126038</v>
      </c>
      <c r="Q131" s="261">
        <f t="shared" si="35"/>
        <v>-16.211600463895451</v>
      </c>
      <c r="R131" s="261">
        <f t="shared" si="35"/>
        <v>-18.610495333738378</v>
      </c>
      <c r="S131" s="261">
        <f t="shared" si="35"/>
        <v>-14.614448531920843</v>
      </c>
      <c r="T131" s="261">
        <f t="shared" si="35"/>
        <v>-14.154304796765118</v>
      </c>
      <c r="U131" s="261">
        <f t="shared" si="35"/>
        <v>-87.594159042321508</v>
      </c>
      <c r="W131" s="47" t="s">
        <v>26</v>
      </c>
      <c r="X131" s="264">
        <f t="shared" si="36"/>
        <v>5.3414604181203557E-2</v>
      </c>
      <c r="Y131" s="265">
        <f t="shared" si="36"/>
        <v>2.1847825345057831E-3</v>
      </c>
      <c r="Z131" s="264">
        <f t="shared" si="36"/>
        <v>-0.18110064600443462</v>
      </c>
      <c r="AA131" s="266">
        <f t="shared" si="36"/>
        <v>-0.15937721566834032</v>
      </c>
      <c r="AB131" s="264">
        <f t="shared" si="36"/>
        <v>-0.20430521277586505</v>
      </c>
      <c r="AC131" s="264">
        <f t="shared" si="36"/>
        <v>-0.23258576656427551</v>
      </c>
      <c r="AD131" s="264">
        <f t="shared" si="36"/>
        <v>-0.18456630525043821</v>
      </c>
      <c r="AE131" s="264">
        <f t="shared" si="36"/>
        <v>-0.18459892010270015</v>
      </c>
      <c r="AF131" s="264">
        <f t="shared" si="36"/>
        <v>-0.13543302569716459</v>
      </c>
    </row>
    <row r="132" spans="1:32">
      <c r="A132" s="44" t="s">
        <v>27</v>
      </c>
      <c r="B132" s="220">
        <f>SUM(B173,B229)*'[1]Universal data'!$F$40</f>
        <v>25.623564501064514</v>
      </c>
      <c r="C132" s="96">
        <f>SUM(C173,C229)*'[1]Universal data'!$F$40</f>
        <v>25.821002068934217</v>
      </c>
      <c r="D132" s="96">
        <f>SUM(D173,D229)*'[1]Universal data'!$F$40</f>
        <v>26.072474836737246</v>
      </c>
      <c r="E132" s="96">
        <f>SUM(E173,E229)*'[1]Universal data'!$F$40</f>
        <v>26.807142494260404</v>
      </c>
      <c r="F132" s="96">
        <f>SUM(F173,F229)*'[1]Universal data'!$F$40</f>
        <v>26.841647893099815</v>
      </c>
      <c r="G132" s="96">
        <f>SUM(G173,G229)*'[1]Universal data'!$F$40</f>
        <v>27.020741263037014</v>
      </c>
      <c r="H132" s="96">
        <f>SUM(H173,H229)*'[1]Universal data'!$F$40</f>
        <v>27.165693223103645</v>
      </c>
      <c r="I132" s="97">
        <f>SUM(I173,I229)*'[1]Universal data'!$F$40</f>
        <v>26.906174108104963</v>
      </c>
      <c r="J132" s="30">
        <f>SUM(J173,J229)*'[1]Universal data'!$F$40</f>
        <v>212.2584403883418</v>
      </c>
      <c r="K132" s="211"/>
      <c r="L132" s="44" t="s">
        <v>27</v>
      </c>
      <c r="M132" s="267">
        <f t="shared" si="35"/>
        <v>-7.0737070698230013</v>
      </c>
      <c r="N132" s="213">
        <f t="shared" si="35"/>
        <v>-7.7667510646924569</v>
      </c>
      <c r="O132" s="213">
        <f t="shared" si="35"/>
        <v>-5.2734412568188915</v>
      </c>
      <c r="P132" s="213">
        <f t="shared" si="35"/>
        <v>-6.1126688463970993</v>
      </c>
      <c r="Q132" s="213">
        <f t="shared" si="35"/>
        <v>-11.599249917124169</v>
      </c>
      <c r="R132" s="213">
        <f t="shared" si="35"/>
        <v>-6.8247977440030496</v>
      </c>
      <c r="S132" s="213">
        <f t="shared" si="35"/>
        <v>-3.6743315598475341</v>
      </c>
      <c r="T132" s="213">
        <f t="shared" si="35"/>
        <v>4.1899800600654871</v>
      </c>
      <c r="U132" s="268">
        <f t="shared" si="35"/>
        <v>-44.134967398640697</v>
      </c>
      <c r="W132" s="44" t="s">
        <v>27</v>
      </c>
      <c r="X132" s="225">
        <f t="shared" si="36"/>
        <v>-0.27606257004286539</v>
      </c>
      <c r="Y132" s="217">
        <f t="shared" si="36"/>
        <v>-0.30079200814738311</v>
      </c>
      <c r="Z132" s="217">
        <f t="shared" si="36"/>
        <v>-0.20226086283870467</v>
      </c>
      <c r="AA132" s="217">
        <f t="shared" si="36"/>
        <v>-0.22802388757794176</v>
      </c>
      <c r="AB132" s="217">
        <f t="shared" si="36"/>
        <v>-0.4321362817707623</v>
      </c>
      <c r="AC132" s="217">
        <f t="shared" si="36"/>
        <v>-0.25257625901399761</v>
      </c>
      <c r="AD132" s="217">
        <f t="shared" si="36"/>
        <v>-0.13525631500257906</v>
      </c>
      <c r="AE132" s="217">
        <f t="shared" si="36"/>
        <v>0.15572559826717752</v>
      </c>
      <c r="AF132" s="258">
        <f t="shared" si="36"/>
        <v>-0.2079303292622553</v>
      </c>
    </row>
    <row r="133" spans="1:32">
      <c r="A133" s="44" t="s">
        <v>28</v>
      </c>
      <c r="B133" s="220">
        <f>SUM(B174,B230)*'[1]Universal data'!$F$40</f>
        <v>4.3777853546795349</v>
      </c>
      <c r="C133" s="96">
        <f>SUM(C174,C230)*'[1]Universal data'!$F$40</f>
        <v>4.5763595796797878</v>
      </c>
      <c r="D133" s="96">
        <f>SUM(D174,D230)*'[1]Universal data'!$F$40</f>
        <v>4.9810839531793993</v>
      </c>
      <c r="E133" s="96">
        <f>SUM(E174,E230)*'[1]Universal data'!$F$40</f>
        <v>5.0213210217001283</v>
      </c>
      <c r="F133" s="96">
        <f>SUM(F174,F230)*'[1]Universal data'!$F$40</f>
        <v>5.2881157812467894</v>
      </c>
      <c r="G133" s="96">
        <f>SUM(G174,G230)*'[1]Universal data'!$F$40</f>
        <v>5.0931072378633084</v>
      </c>
      <c r="H133" s="96">
        <f>SUM(H174,H230)*'[1]Universal data'!$F$40</f>
        <v>5.0995645122002333</v>
      </c>
      <c r="I133" s="97">
        <f>SUM(I174,I230)*'[1]Universal data'!$F$40</f>
        <v>5.1416385198283221</v>
      </c>
      <c r="J133" s="30">
        <f>SUM(J174,J230)*'[1]Universal data'!$F$40</f>
        <v>39.578975960377505</v>
      </c>
      <c r="K133" s="211"/>
      <c r="L133" s="44" t="s">
        <v>28</v>
      </c>
      <c r="M133" s="267">
        <f t="shared" si="35"/>
        <v>-2.1870585829961695</v>
      </c>
      <c r="N133" s="222">
        <f t="shared" si="35"/>
        <v>-2.5499490597514605</v>
      </c>
      <c r="O133" s="222">
        <f t="shared" si="35"/>
        <v>-2.1086534719781018</v>
      </c>
      <c r="P133" s="222">
        <f t="shared" si="35"/>
        <v>-1.4700758984826607</v>
      </c>
      <c r="Q133" s="222">
        <f t="shared" si="35"/>
        <v>-1.4685917191702944</v>
      </c>
      <c r="R133" s="222">
        <f t="shared" si="35"/>
        <v>-0.64743398489258741</v>
      </c>
      <c r="S133" s="222">
        <f t="shared" si="35"/>
        <v>0.95103624224588401</v>
      </c>
      <c r="T133" s="222">
        <f t="shared" si="35"/>
        <v>-0.33930205182621442</v>
      </c>
      <c r="U133" s="268">
        <f t="shared" si="35"/>
        <v>-9.8200285268516119</v>
      </c>
      <c r="W133" s="44" t="s">
        <v>28</v>
      </c>
      <c r="X133" s="225">
        <f t="shared" si="36"/>
        <v>-0.49958104516439178</v>
      </c>
      <c r="Y133" s="226">
        <f t="shared" si="36"/>
        <v>-0.55720032819839804</v>
      </c>
      <c r="Z133" s="226">
        <f t="shared" si="36"/>
        <v>-0.42333224892388321</v>
      </c>
      <c r="AA133" s="226">
        <f t="shared" si="36"/>
        <v>-0.29276676239770061</v>
      </c>
      <c r="AB133" s="226">
        <f t="shared" si="36"/>
        <v>-0.27771550017462776</v>
      </c>
      <c r="AC133" s="226">
        <f t="shared" si="36"/>
        <v>-0.1271196451705193</v>
      </c>
      <c r="AD133" s="226">
        <f t="shared" si="36"/>
        <v>0.18649361920427093</v>
      </c>
      <c r="AE133" s="226">
        <f t="shared" si="36"/>
        <v>-6.5991035837646483E-2</v>
      </c>
      <c r="AF133" s="258">
        <f t="shared" si="36"/>
        <v>-0.24811224364881088</v>
      </c>
    </row>
    <row r="134" spans="1:32">
      <c r="A134" s="51" t="s">
        <v>29</v>
      </c>
      <c r="B134" s="28">
        <f>SUM(B175,B231)*'[1]Universal data'!$F$40</f>
        <v>30.001349855744049</v>
      </c>
      <c r="C134" s="136">
        <f>SUM(C175,C231)*'[1]Universal data'!$F$40</f>
        <v>30.397361648614002</v>
      </c>
      <c r="D134" s="136">
        <f>SUM(D175,D231)*'[1]Universal data'!$F$40</f>
        <v>31.053558789916647</v>
      </c>
      <c r="E134" s="136">
        <f>SUM(E175,E231)*'[1]Universal data'!$F$40</f>
        <v>31.828463515960532</v>
      </c>
      <c r="F134" s="136">
        <f>SUM(F175,F231)*'[1]Universal data'!$F$40</f>
        <v>32.129763674346599</v>
      </c>
      <c r="G134" s="136">
        <f>SUM(G175,G231)*'[1]Universal data'!$F$40</f>
        <v>32.113848500900325</v>
      </c>
      <c r="H134" s="136">
        <f>SUM(H175,H231)*'[1]Universal data'!$F$40</f>
        <v>32.265257735303877</v>
      </c>
      <c r="I134" s="136">
        <f>SUM(I175,I231)*'[1]Universal data'!$F$40</f>
        <v>32.047812627933283</v>
      </c>
      <c r="J134" s="37">
        <f>SUM(J175,J231)*'[1]Universal data'!$F$40</f>
        <v>251.83741634871933</v>
      </c>
      <c r="K134" s="211"/>
      <c r="L134" s="51" t="s">
        <v>29</v>
      </c>
      <c r="M134" s="221">
        <f t="shared" si="35"/>
        <v>-9.2607656528191704</v>
      </c>
      <c r="N134" s="263">
        <f t="shared" si="35"/>
        <v>-10.316700124443916</v>
      </c>
      <c r="O134" s="263">
        <f t="shared" si="35"/>
        <v>-7.3820947287969929</v>
      </c>
      <c r="P134" s="263">
        <f t="shared" si="35"/>
        <v>-7.5827447448797614</v>
      </c>
      <c r="Q134" s="263">
        <f t="shared" si="35"/>
        <v>-13.067841636294457</v>
      </c>
      <c r="R134" s="263">
        <f t="shared" si="35"/>
        <v>-7.4722317288956397</v>
      </c>
      <c r="S134" s="263">
        <f t="shared" si="35"/>
        <v>-2.7232953176016466</v>
      </c>
      <c r="T134" s="263">
        <f t="shared" si="35"/>
        <v>3.850678008239278</v>
      </c>
      <c r="U134" s="73">
        <f t="shared" si="35"/>
        <v>-53.954995925492312</v>
      </c>
      <c r="W134" s="51" t="s">
        <v>29</v>
      </c>
      <c r="X134" s="225">
        <f t="shared" si="36"/>
        <v>-0.30867829938812258</v>
      </c>
      <c r="Y134" s="266">
        <f t="shared" si="36"/>
        <v>-0.33939459100768093</v>
      </c>
      <c r="Z134" s="266">
        <f t="shared" si="36"/>
        <v>-0.23772137611467647</v>
      </c>
      <c r="AA134" s="266">
        <f t="shared" si="36"/>
        <v>-0.23823785088078028</v>
      </c>
      <c r="AB134" s="266">
        <f t="shared" si="36"/>
        <v>-0.40672075178468331</v>
      </c>
      <c r="AC134" s="266">
        <f t="shared" si="36"/>
        <v>-0.23267942266982272</v>
      </c>
      <c r="AD134" s="266">
        <f t="shared" si="36"/>
        <v>-8.4403333763606717E-2</v>
      </c>
      <c r="AE134" s="266">
        <f t="shared" si="36"/>
        <v>0.120154160065295</v>
      </c>
      <c r="AF134" s="244">
        <f t="shared" si="36"/>
        <v>-0.2142453520519795</v>
      </c>
    </row>
    <row r="135" spans="1:32">
      <c r="A135" s="52" t="s">
        <v>30</v>
      </c>
      <c r="B135" s="48">
        <f>SUM(B176,B232)*'[1]Universal data'!$F$40</f>
        <v>112.59715027541449</v>
      </c>
      <c r="C135" s="48">
        <f>SUM(C176,C232)*'[1]Universal data'!$F$40</f>
        <v>111.47619589491948</v>
      </c>
      <c r="D135" s="48">
        <f>SUM(D176,D232)*'[1]Universal data'!$F$40</f>
        <v>115.62869489918479</v>
      </c>
      <c r="E135" s="48">
        <f>SUM(E176,E232)*'[1]Universal data'!$F$40</f>
        <v>115.12556268070141</v>
      </c>
      <c r="F135" s="48">
        <f>SUM(F176,F232)*'[1]Universal data'!$F$40</f>
        <v>111.47967473941834</v>
      </c>
      <c r="G135" s="48">
        <f>SUM(G176,G232)*'[1]Universal data'!$F$40</f>
        <v>112.12947288174709</v>
      </c>
      <c r="H135" s="48">
        <f>SUM(H176,H232)*'[1]Universal data'!$F$40</f>
        <v>111.44790438410838</v>
      </c>
      <c r="I135" s="48">
        <f>SUM(I176,I232)*'[1]Universal data'!$F$40</f>
        <v>108.72380178805666</v>
      </c>
      <c r="J135" s="48">
        <f>SUM(J176,J232)*'[1]Universal data'!$F$40</f>
        <v>898.60845754355068</v>
      </c>
      <c r="K135" s="211"/>
      <c r="L135" s="52" t="s">
        <v>30</v>
      </c>
      <c r="M135" s="261">
        <f t="shared" si="35"/>
        <v>-4.8489436663727759</v>
      </c>
      <c r="N135" s="263">
        <f t="shared" si="35"/>
        <v>-10.139560503464494</v>
      </c>
      <c r="O135" s="261">
        <f t="shared" si="35"/>
        <v>-22.698706514098447</v>
      </c>
      <c r="P135" s="261">
        <f t="shared" si="35"/>
        <v>-20.858404483005785</v>
      </c>
      <c r="Q135" s="261">
        <f t="shared" si="35"/>
        <v>-29.279442100189911</v>
      </c>
      <c r="R135" s="261">
        <f t="shared" si="35"/>
        <v>-26.082727062634021</v>
      </c>
      <c r="S135" s="261">
        <f t="shared" si="35"/>
        <v>-17.337743849522482</v>
      </c>
      <c r="T135" s="261">
        <f t="shared" si="35"/>
        <v>-10.303626788525847</v>
      </c>
      <c r="U135" s="261">
        <f t="shared" si="35"/>
        <v>-141.54915496781382</v>
      </c>
      <c r="W135" s="52" t="s">
        <v>30</v>
      </c>
      <c r="X135" s="264">
        <f t="shared" si="36"/>
        <v>-4.3064532756931943E-2</v>
      </c>
      <c r="Y135" s="266">
        <f t="shared" si="36"/>
        <v>-9.0957180787029385E-2</v>
      </c>
      <c r="Z135" s="264">
        <f t="shared" si="36"/>
        <v>-0.19630686425968194</v>
      </c>
      <c r="AA135" s="264">
        <f t="shared" si="36"/>
        <v>-0.18117960943961836</v>
      </c>
      <c r="AB135" s="264">
        <f t="shared" si="36"/>
        <v>-0.26264377043286197</v>
      </c>
      <c r="AC135" s="264">
        <f t="shared" si="36"/>
        <v>-0.23261258964573156</v>
      </c>
      <c r="AD135" s="264">
        <f t="shared" si="36"/>
        <v>-0.15556814590041507</v>
      </c>
      <c r="AE135" s="264">
        <f t="shared" si="36"/>
        <v>-9.4768823560929805E-2</v>
      </c>
      <c r="AF135" s="264">
        <f t="shared" si="36"/>
        <v>-0.15752039030965129</v>
      </c>
    </row>
    <row r="136" spans="1:32">
      <c r="A136" s="141" t="s">
        <v>51</v>
      </c>
      <c r="B136" s="28">
        <f>SUM(B177,B234)*'[1]Universal data'!$F$40</f>
        <v>0.40410591625121023</v>
      </c>
      <c r="C136" s="28">
        <f>SUM(C177,C234)*'[1]Universal data'!$F$40</f>
        <v>0.40410591625121023</v>
      </c>
      <c r="D136" s="28">
        <f>SUM(D177,D234)*'[1]Universal data'!$F$40</f>
        <v>0.40410591625121023</v>
      </c>
      <c r="E136" s="28">
        <f>SUM(E177,E234)*'[1]Universal data'!$F$40</f>
        <v>0.40410591625121023</v>
      </c>
      <c r="F136" s="28">
        <f>SUM(F177,F234)*'[1]Universal data'!$F$40</f>
        <v>0.40410591625121023</v>
      </c>
      <c r="G136" s="28">
        <f>SUM(G177,G234)*'[1]Universal data'!$F$40</f>
        <v>0.40410591625121023</v>
      </c>
      <c r="H136" s="28">
        <f>SUM(H177,H234)*'[1]Universal data'!$F$40</f>
        <v>0.40410591625121023</v>
      </c>
      <c r="I136" s="28">
        <f>SUM(I177,I234)*'[1]Universal data'!$F$40</f>
        <v>0.40410591625121023</v>
      </c>
      <c r="J136" s="28">
        <f>SUM(J177,J234)*'[1]Universal data'!$F$40</f>
        <v>3.2328473300096818</v>
      </c>
      <c r="K136" s="269"/>
      <c r="L136" s="141" t="s">
        <v>51</v>
      </c>
      <c r="M136" s="270">
        <f t="shared" si="35"/>
        <v>-0.40410591625121023</v>
      </c>
      <c r="N136" s="271">
        <f t="shared" si="35"/>
        <v>-0.40410591625121023</v>
      </c>
      <c r="O136" s="271">
        <f t="shared" si="35"/>
        <v>-0.35880595433369011</v>
      </c>
      <c r="P136" s="271">
        <f t="shared" si="35"/>
        <v>-0.3698743809781852</v>
      </c>
      <c r="Q136" s="271">
        <f t="shared" si="35"/>
        <v>-0.36959836584921468</v>
      </c>
      <c r="R136" s="271">
        <f t="shared" si="35"/>
        <v>-0.32733581396047057</v>
      </c>
      <c r="S136" s="271">
        <f t="shared" si="35"/>
        <v>-0.31734885067184382</v>
      </c>
      <c r="T136" s="271">
        <f t="shared" si="35"/>
        <v>-0.11284378032888015</v>
      </c>
      <c r="U136" s="272">
        <f t="shared" si="35"/>
        <v>-3.2328473300096818</v>
      </c>
      <c r="V136" s="149"/>
      <c r="W136" s="141" t="s">
        <v>51</v>
      </c>
      <c r="X136" s="273">
        <f t="shared" si="36"/>
        <v>-1</v>
      </c>
      <c r="Y136" s="274">
        <f t="shared" si="36"/>
        <v>-1</v>
      </c>
      <c r="Z136" s="274">
        <f t="shared" si="36"/>
        <v>-0.88790077032834225</v>
      </c>
      <c r="AA136" s="274">
        <f t="shared" si="36"/>
        <v>-0.91529068519812218</v>
      </c>
      <c r="AB136" s="274">
        <f t="shared" si="36"/>
        <v>-0.91460765850172776</v>
      </c>
      <c r="AC136" s="274">
        <f t="shared" si="36"/>
        <v>-0.8100247999264234</v>
      </c>
      <c r="AD136" s="274">
        <f t="shared" si="36"/>
        <v>-0.7853110729380306</v>
      </c>
      <c r="AE136" s="274">
        <f t="shared" si="36"/>
        <v>-0.27924307908110763</v>
      </c>
      <c r="AF136" s="275">
        <f t="shared" si="36"/>
        <v>-1</v>
      </c>
    </row>
    <row r="137" spans="1:32">
      <c r="A137" s="55" t="s">
        <v>32</v>
      </c>
      <c r="B137" s="80">
        <f>SUM(B178,B233)*'[1]Universal data'!$F$40</f>
        <v>294.9105478024639</v>
      </c>
      <c r="C137" s="80">
        <f>SUM(C178,C233)*'[1]Universal data'!$F$40</f>
        <v>288.48221029407699</v>
      </c>
      <c r="D137" s="80">
        <f>SUM(D178,D233)*'[1]Universal data'!$F$40</f>
        <v>285.53374046828623</v>
      </c>
      <c r="E137" s="80">
        <f>SUM(E178,E233)*'[1]Universal data'!$F$40</f>
        <v>288.03391887432656</v>
      </c>
      <c r="F137" s="80">
        <f>SUM(F178,F233)*'[1]Universal data'!$F$40</f>
        <v>284.60142018045445</v>
      </c>
      <c r="G137" s="80">
        <f>SUM(G178,G233)*'[1]Universal data'!$F$40</f>
        <v>278.43543787018143</v>
      </c>
      <c r="H137" s="80">
        <f>SUM(H178,H233)*'[1]Universal data'!$F$40</f>
        <v>278.34030157679007</v>
      </c>
      <c r="I137" s="80">
        <f>SUM(I178,I233)*'[1]Universal data'!$F$40</f>
        <v>276.30871461907083</v>
      </c>
      <c r="J137" s="80">
        <f>SUM(J178,J233)*'[1]Universal data'!$F$40</f>
        <v>2274.6462916856508</v>
      </c>
      <c r="K137" s="211"/>
      <c r="L137" s="55" t="s">
        <v>32</v>
      </c>
      <c r="M137" s="276">
        <f t="shared" si="35"/>
        <v>-45.086872491521376</v>
      </c>
      <c r="N137" s="276">
        <f t="shared" si="35"/>
        <v>-50.47484122388019</v>
      </c>
      <c r="O137" s="276">
        <f t="shared" si="35"/>
        <v>-51.641402076553248</v>
      </c>
      <c r="P137" s="276">
        <f t="shared" si="35"/>
        <v>-56.31740410609126</v>
      </c>
      <c r="Q137" s="276">
        <f t="shared" si="35"/>
        <v>-78.679097739445808</v>
      </c>
      <c r="R137" s="276">
        <f t="shared" si="35"/>
        <v>-55.966916042961998</v>
      </c>
      <c r="S137" s="276">
        <f t="shared" si="35"/>
        <v>-53.65000442161562</v>
      </c>
      <c r="T137" s="276">
        <f t="shared" si="35"/>
        <v>-39.547287733226227</v>
      </c>
      <c r="U137" s="276">
        <f t="shared" si="35"/>
        <v>-431.36382583529576</v>
      </c>
      <c r="W137" s="55" t="s">
        <v>32</v>
      </c>
      <c r="X137" s="277">
        <f t="shared" si="36"/>
        <v>-0.15288321434240912</v>
      </c>
      <c r="Y137" s="277">
        <f t="shared" si="36"/>
        <v>-0.17496691103561099</v>
      </c>
      <c r="Z137" s="277">
        <f t="shared" si="36"/>
        <v>-0.18085919370460171</v>
      </c>
      <c r="AA137" s="277">
        <f t="shared" si="36"/>
        <v>-0.19552351447422195</v>
      </c>
      <c r="AB137" s="277">
        <f t="shared" si="36"/>
        <v>-0.27645363712366061</v>
      </c>
      <c r="AC137" s="277">
        <f t="shared" si="36"/>
        <v>-0.20100500306665769</v>
      </c>
      <c r="AD137" s="277">
        <f t="shared" si="36"/>
        <v>-0.19274968129907827</v>
      </c>
      <c r="AE137" s="277">
        <f t="shared" si="36"/>
        <v>-0.14312718217283718</v>
      </c>
      <c r="AF137" s="277">
        <f t="shared" si="36"/>
        <v>-0.18963995739119027</v>
      </c>
    </row>
    <row r="138" spans="1:32">
      <c r="A138" s="57" t="s">
        <v>33</v>
      </c>
      <c r="B138" s="28"/>
      <c r="C138" s="96"/>
      <c r="D138" s="96"/>
      <c r="E138" s="96"/>
      <c r="F138" s="96"/>
      <c r="G138" s="96"/>
      <c r="H138" s="96"/>
      <c r="I138" s="97"/>
      <c r="J138" s="30">
        <v>0</v>
      </c>
      <c r="K138" s="211"/>
      <c r="L138" s="57" t="s">
        <v>33</v>
      </c>
      <c r="M138" s="156"/>
      <c r="N138" s="156"/>
      <c r="O138" s="157"/>
      <c r="P138" s="156"/>
      <c r="Q138" s="156"/>
      <c r="R138" s="156"/>
      <c r="S138" s="156"/>
      <c r="T138" s="156"/>
      <c r="U138" s="59"/>
      <c r="W138" s="57" t="s">
        <v>33</v>
      </c>
      <c r="X138" s="278"/>
      <c r="Y138" s="278"/>
      <c r="Z138" s="279"/>
      <c r="AA138" s="278"/>
      <c r="AB138" s="278"/>
      <c r="AC138" s="278"/>
      <c r="AD138" s="278"/>
      <c r="AE138" s="278"/>
      <c r="AF138" s="280"/>
    </row>
    <row r="139" spans="1:32">
      <c r="A139" s="44" t="s">
        <v>34</v>
      </c>
      <c r="B139" s="210">
        <f>SUM(B180,B236)*'[1]Universal data'!$F$40</f>
        <v>37.187840753743991</v>
      </c>
      <c r="C139" s="89">
        <f>SUM(C180,C236)*'[1]Universal data'!$F$40</f>
        <v>37.187840754046874</v>
      </c>
      <c r="D139" s="89">
        <f>SUM(D180,D236)*'[1]Universal data'!$F$40</f>
        <v>37.18784075434673</v>
      </c>
      <c r="E139" s="89">
        <f>SUM(E180,E236)*'[1]Universal data'!$F$40</f>
        <v>37.187840754643581</v>
      </c>
      <c r="F139" s="89">
        <f>SUM(F180,F236)*'[1]Universal data'!$F$40</f>
        <v>37.187840754937469</v>
      </c>
      <c r="G139" s="89">
        <f>SUM(G180,G236)*'[1]Universal data'!$F$40</f>
        <v>37.187840755228414</v>
      </c>
      <c r="H139" s="89">
        <f>SUM(H180,H236)*'[1]Universal data'!$F$40</f>
        <v>37.187840755516447</v>
      </c>
      <c r="I139" s="90">
        <f>SUM(I180,I236)*'[1]Universal data'!$F$40</f>
        <v>37.187840755801602</v>
      </c>
      <c r="J139" s="30">
        <f>SUM(J180,J236)*'[1]Universal data'!$F$40</f>
        <v>297.50272603826505</v>
      </c>
      <c r="K139" s="211"/>
      <c r="L139" s="44" t="s">
        <v>34</v>
      </c>
      <c r="M139" s="73">
        <f t="shared" ref="M139:U144" si="37">B39-B139</f>
        <v>8.423550962804768</v>
      </c>
      <c r="N139" s="222">
        <f t="shared" si="37"/>
        <v>9.0750007398645991</v>
      </c>
      <c r="O139" s="222">
        <f t="shared" si="37"/>
        <v>8.5980688698893317</v>
      </c>
      <c r="P139" s="222">
        <f t="shared" si="37"/>
        <v>25.380401017488431</v>
      </c>
      <c r="Q139" s="222">
        <f t="shared" si="37"/>
        <v>28.059179651537363</v>
      </c>
      <c r="R139" s="222">
        <f t="shared" si="37"/>
        <v>9.3438877337100479</v>
      </c>
      <c r="S139" s="222">
        <f t="shared" si="37"/>
        <v>27.131571222305141</v>
      </c>
      <c r="T139" s="281">
        <f t="shared" si="37"/>
        <v>9.1938130341469204</v>
      </c>
      <c r="U139" s="282">
        <f t="shared" si="37"/>
        <v>125.20547323174668</v>
      </c>
      <c r="W139" s="44" t="s">
        <v>34</v>
      </c>
      <c r="X139" s="244">
        <f t="shared" si="36"/>
        <v>0.22651358057019494</v>
      </c>
      <c r="Y139" s="226">
        <f t="shared" si="36"/>
        <v>0.2440313972484954</v>
      </c>
      <c r="Z139" s="226">
        <f t="shared" si="36"/>
        <v>0.23120645607487547</v>
      </c>
      <c r="AA139" s="226">
        <f t="shared" si="36"/>
        <v>0.68249192484560228</v>
      </c>
      <c r="AB139" s="226">
        <f t="shared" si="36"/>
        <v>0.75452564822043122</v>
      </c>
      <c r="AC139" s="226">
        <f t="shared" si="36"/>
        <v>0.25126190561081035</v>
      </c>
      <c r="AD139" s="226">
        <f t="shared" si="36"/>
        <v>0.72958178455898759</v>
      </c>
      <c r="AE139" s="283">
        <f t="shared" si="36"/>
        <v>0.24722632041260992</v>
      </c>
      <c r="AF139" s="258">
        <f t="shared" si="36"/>
        <v>0.42085487719410897</v>
      </c>
    </row>
    <row r="140" spans="1:32">
      <c r="A140" s="44" t="s">
        <v>35</v>
      </c>
      <c r="B140" s="220">
        <f>SUM(B181,B237)*'[1]Universal data'!$F$40</f>
        <v>31.03817349959926</v>
      </c>
      <c r="C140" s="96">
        <f>SUM(C181,C237)*'[1]Universal data'!$F$40</f>
        <v>31.060747686301646</v>
      </c>
      <c r="D140" s="96">
        <f>SUM(D181,D237)*'[1]Universal data'!$F$40</f>
        <v>31.062208314595939</v>
      </c>
      <c r="E140" s="96">
        <f>SUM(E181,E237)*'[1]Universal data'!$F$40</f>
        <v>31.062208314595939</v>
      </c>
      <c r="F140" s="96">
        <f>SUM(F181,F237)*'[1]Universal data'!$F$40</f>
        <v>31.062208314595939</v>
      </c>
      <c r="G140" s="96">
        <f>SUM(G181,G237)*'[1]Universal data'!$F$40</f>
        <v>31.062208314595939</v>
      </c>
      <c r="H140" s="96">
        <f>SUM(H181,H237)*'[1]Universal data'!$F$40</f>
        <v>31.062208314595939</v>
      </c>
      <c r="I140" s="97">
        <f>SUM(I181,I237)*'[1]Universal data'!$F$40</f>
        <v>31.062208314595939</v>
      </c>
      <c r="J140" s="30">
        <f>SUM(J181,J237)*'[1]Universal data'!$F$40</f>
        <v>248.47217107347652</v>
      </c>
      <c r="K140" s="211"/>
      <c r="L140" s="44" t="s">
        <v>35</v>
      </c>
      <c r="M140" s="221">
        <f t="shared" si="37"/>
        <v>-7.0687585556525967</v>
      </c>
      <c r="N140" s="222">
        <f t="shared" si="37"/>
        <v>-5.0980196874830312</v>
      </c>
      <c r="O140" s="222">
        <f t="shared" si="37"/>
        <v>-4.9077873256840086</v>
      </c>
      <c r="P140" s="222">
        <f t="shared" si="37"/>
        <v>4.5892572269963772</v>
      </c>
      <c r="Q140" s="222">
        <f t="shared" si="37"/>
        <v>12.836250037663259</v>
      </c>
      <c r="R140" s="222">
        <f t="shared" si="37"/>
        <v>-0.73653726555143351</v>
      </c>
      <c r="S140" s="222">
        <f t="shared" si="37"/>
        <v>-7.4727407045959424</v>
      </c>
      <c r="T140" s="281">
        <f t="shared" si="37"/>
        <v>2.7928690960237397</v>
      </c>
      <c r="U140" s="282">
        <f t="shared" si="37"/>
        <v>-5.065467178283626</v>
      </c>
      <c r="W140" s="44" t="s">
        <v>35</v>
      </c>
      <c r="X140" s="225">
        <f t="shared" si="36"/>
        <v>-0.22774402481331135</v>
      </c>
      <c r="Y140" s="226">
        <f t="shared" si="36"/>
        <v>-0.16413061716899205</v>
      </c>
      <c r="Z140" s="226">
        <f t="shared" si="36"/>
        <v>-0.15799866113762007</v>
      </c>
      <c r="AA140" s="226">
        <f t="shared" si="36"/>
        <v>0.14774407474564241</v>
      </c>
      <c r="AB140" s="226">
        <f t="shared" si="36"/>
        <v>0.4132433183004437</v>
      </c>
      <c r="AC140" s="226">
        <f t="shared" si="36"/>
        <v>-2.3711683924460041E-2</v>
      </c>
      <c r="AD140" s="226">
        <f t="shared" si="36"/>
        <v>-0.24057338837318104</v>
      </c>
      <c r="AE140" s="283">
        <f t="shared" si="36"/>
        <v>8.991212304475428E-2</v>
      </c>
      <c r="AF140" s="258">
        <f t="shared" si="36"/>
        <v>-2.0386456786686588E-2</v>
      </c>
    </row>
    <row r="141" spans="1:32">
      <c r="A141" s="44" t="s">
        <v>36</v>
      </c>
      <c r="B141" s="220">
        <f>SUM(B182,B238)*'[1]Universal data'!$F$40</f>
        <v>11.947135169189632</v>
      </c>
      <c r="C141" s="96">
        <f>SUM(C182,C238)*'[1]Universal data'!$F$40</f>
        <v>11.783779594915487</v>
      </c>
      <c r="D141" s="96">
        <f>SUM(D182,D238)*'[1]Universal data'!$F$40</f>
        <v>11.696140293621729</v>
      </c>
      <c r="E141" s="96">
        <f>SUM(E182,E238)*'[1]Universal data'!$F$40</f>
        <v>11.472047609778661</v>
      </c>
      <c r="F141" s="96">
        <f>SUM(F182,F238)*'[1]Universal data'!$F$40</f>
        <v>11.301643366450353</v>
      </c>
      <c r="G141" s="96">
        <f>SUM(G182,G238)*'[1]Universal data'!$F$40</f>
        <v>11.136173141962214</v>
      </c>
      <c r="H141" s="96">
        <f>SUM(H182,H238)*'[1]Universal data'!$F$40</f>
        <v>10.968587846994099</v>
      </c>
      <c r="I141" s="97">
        <f>SUM(I182,I238)*'[1]Universal data'!$F$40</f>
        <v>10.570046904218964</v>
      </c>
      <c r="J141" s="30">
        <f>SUM(J182,J238)*'[1]Universal data'!$F$40</f>
        <v>90.875553927131165</v>
      </c>
      <c r="K141" s="211"/>
      <c r="L141" s="44" t="s">
        <v>36</v>
      </c>
      <c r="M141" s="221">
        <f t="shared" si="37"/>
        <v>-1.6594317162882497</v>
      </c>
      <c r="N141" s="222">
        <f t="shared" si="37"/>
        <v>-4.1287168185687593</v>
      </c>
      <c r="O141" s="222">
        <f t="shared" si="37"/>
        <v>-6.1719162475355818</v>
      </c>
      <c r="P141" s="222">
        <f t="shared" si="37"/>
        <v>-6.0394568212006412</v>
      </c>
      <c r="Q141" s="222">
        <f t="shared" si="37"/>
        <v>-5.1100968992570994</v>
      </c>
      <c r="R141" s="222">
        <f t="shared" si="37"/>
        <v>-3.8945526716520229</v>
      </c>
      <c r="S141" s="222">
        <f t="shared" si="37"/>
        <v>-7.7569972269941001</v>
      </c>
      <c r="T141" s="281">
        <f t="shared" si="37"/>
        <v>-3.7323158362578006</v>
      </c>
      <c r="U141" s="282">
        <f t="shared" si="37"/>
        <v>-38.493484237754274</v>
      </c>
      <c r="W141" s="44" t="s">
        <v>36</v>
      </c>
      <c r="X141" s="225">
        <f t="shared" si="36"/>
        <v>-0.13889787742317877</v>
      </c>
      <c r="Y141" s="226">
        <f t="shared" si="36"/>
        <v>-0.35037288208871753</v>
      </c>
      <c r="Z141" s="226">
        <f t="shared" si="36"/>
        <v>-0.52768828798174727</v>
      </c>
      <c r="AA141" s="226">
        <f t="shared" si="36"/>
        <v>-0.52644976961677414</v>
      </c>
      <c r="AB141" s="226">
        <f t="shared" si="36"/>
        <v>-0.45215520730611153</v>
      </c>
      <c r="AC141" s="226">
        <f t="shared" si="36"/>
        <v>-0.34972091597399463</v>
      </c>
      <c r="AD141" s="226">
        <f t="shared" si="36"/>
        <v>-0.70720108506218293</v>
      </c>
      <c r="AE141" s="283">
        <f t="shared" si="36"/>
        <v>-0.35310305338078218</v>
      </c>
      <c r="AF141" s="258">
        <f t="shared" si="36"/>
        <v>-0.42358458985152803</v>
      </c>
    </row>
    <row r="142" spans="1:32">
      <c r="A142" s="62" t="s">
        <v>37</v>
      </c>
      <c r="B142" s="220">
        <f>SUM(B183,B239)*'[1]Universal data'!$F$40</f>
        <v>5.3165361746973678</v>
      </c>
      <c r="C142" s="121">
        <f>SUM(C183,C239)*'[1]Universal data'!$F$40</f>
        <v>5.3165361746973678</v>
      </c>
      <c r="D142" s="121">
        <f>SUM(D183,D239)*'[1]Universal data'!$F$40</f>
        <v>5.3165361746973678</v>
      </c>
      <c r="E142" s="121">
        <f>SUM(E183,E239)*'[1]Universal data'!$F$40</f>
        <v>5.3165361746973678</v>
      </c>
      <c r="F142" s="121">
        <f>SUM(F183,F239)*'[1]Universal data'!$F$40</f>
        <v>5.3165361746973678</v>
      </c>
      <c r="G142" s="121">
        <f>SUM(G183,G239)*'[1]Universal data'!$F$40</f>
        <v>5.3165361746973678</v>
      </c>
      <c r="H142" s="121">
        <f>SUM(H183,H239)*'[1]Universal data'!$F$40</f>
        <v>5.3165361746973678</v>
      </c>
      <c r="I142" s="165">
        <f>SUM(I183,I239)*'[1]Universal data'!$F$40</f>
        <v>5.3165361746973678</v>
      </c>
      <c r="J142" s="30">
        <f>SUM(J183,J239)*'[1]Universal data'!$F$40</f>
        <v>42.532289397578943</v>
      </c>
      <c r="K142" s="211"/>
      <c r="L142" s="62" t="s">
        <v>37</v>
      </c>
      <c r="M142" s="221">
        <f t="shared" si="37"/>
        <v>-7.9750001358718237E-2</v>
      </c>
      <c r="N142" s="252">
        <f t="shared" si="37"/>
        <v>5.4463397168014183E-3</v>
      </c>
      <c r="O142" s="252">
        <f t="shared" si="37"/>
        <v>2.157889248335831</v>
      </c>
      <c r="P142" s="252">
        <f t="shared" si="37"/>
        <v>2.0389655716979398</v>
      </c>
      <c r="Q142" s="252">
        <f t="shared" si="37"/>
        <v>1.9921643732109633</v>
      </c>
      <c r="R142" s="252">
        <f t="shared" si="37"/>
        <v>1.7491950221343489</v>
      </c>
      <c r="S142" s="252">
        <f t="shared" si="37"/>
        <v>1.796859825302632</v>
      </c>
      <c r="T142" s="284">
        <f t="shared" si="37"/>
        <v>1.9569116370259323</v>
      </c>
      <c r="U142" s="285">
        <f t="shared" si="37"/>
        <v>11.617682016065729</v>
      </c>
      <c r="W142" s="62" t="s">
        <v>37</v>
      </c>
      <c r="X142" s="225">
        <f t="shared" si="36"/>
        <v>-1.5000368423761892E-2</v>
      </c>
      <c r="Y142" s="255">
        <f t="shared" si="36"/>
        <v>1.0244150585717474E-3</v>
      </c>
      <c r="Z142" s="255">
        <f t="shared" si="36"/>
        <v>0.40588254785243966</v>
      </c>
      <c r="AA142" s="255">
        <f t="shared" si="36"/>
        <v>0.38351390918806333</v>
      </c>
      <c r="AB142" s="255">
        <f t="shared" si="36"/>
        <v>0.3747109598712291</v>
      </c>
      <c r="AC142" s="255">
        <f t="shared" si="36"/>
        <v>0.32901027373032365</v>
      </c>
      <c r="AD142" s="255">
        <f t="shared" si="36"/>
        <v>0.33797566051639144</v>
      </c>
      <c r="AE142" s="286">
        <f t="shared" si="36"/>
        <v>0.36808018843910628</v>
      </c>
      <c r="AF142" s="287">
        <f t="shared" si="36"/>
        <v>0.27314969827904539</v>
      </c>
    </row>
    <row r="143" spans="1:32">
      <c r="A143" s="64" t="s">
        <v>38</v>
      </c>
      <c r="B143" s="65">
        <f>SUM(B184,B240)*'[1]Universal data'!$F$40</f>
        <v>85.489685597230249</v>
      </c>
      <c r="C143" s="65">
        <f>SUM(C184,C240)*'[1]Universal data'!$F$40</f>
        <v>85.348904209961375</v>
      </c>
      <c r="D143" s="170">
        <f>SUM(D184,D240)*'[1]Universal data'!$F$40</f>
        <v>85.262725537261758</v>
      </c>
      <c r="E143" s="65">
        <f>SUM(E184,E240)*'[1]Universal data'!$F$40</f>
        <v>85.038632853715541</v>
      </c>
      <c r="F143" s="65">
        <f>SUM(F184,F240)*'[1]Universal data'!$F$40</f>
        <v>84.868228610681129</v>
      </c>
      <c r="G143" s="65">
        <f>SUM(G184,G240)*'[1]Universal data'!$F$40</f>
        <v>84.702758386483936</v>
      </c>
      <c r="H143" s="65">
        <f>SUM(H184,H240)*'[1]Universal data'!$F$40</f>
        <v>84.535173091803841</v>
      </c>
      <c r="I143" s="65">
        <f>SUM(I184,I240)*'[1]Universal data'!$F$40</f>
        <v>84.136632149313868</v>
      </c>
      <c r="J143" s="65">
        <f>SUM(J184,J240)*'[1]Universal data'!$F$40</f>
        <v>679.38274043645163</v>
      </c>
      <c r="K143" s="211"/>
      <c r="L143" s="64" t="s">
        <v>38</v>
      </c>
      <c r="M143" s="59">
        <f t="shared" si="37"/>
        <v>-0.38438931049479663</v>
      </c>
      <c r="N143" s="66">
        <f t="shared" si="37"/>
        <v>-0.14628942647038912</v>
      </c>
      <c r="O143" s="170">
        <f t="shared" si="37"/>
        <v>-0.3237454549944232</v>
      </c>
      <c r="P143" s="65">
        <f t="shared" si="37"/>
        <v>25.969166994982118</v>
      </c>
      <c r="Q143" s="65">
        <f t="shared" si="37"/>
        <v>37.777497163154479</v>
      </c>
      <c r="R143" s="65">
        <f t="shared" si="37"/>
        <v>6.461992818640951</v>
      </c>
      <c r="S143" s="65">
        <f t="shared" si="37"/>
        <v>13.698693116017736</v>
      </c>
      <c r="T143" s="65">
        <f t="shared" si="37"/>
        <v>10.211277930938792</v>
      </c>
      <c r="U143" s="66">
        <f t="shared" si="37"/>
        <v>93.26420383177458</v>
      </c>
      <c r="W143" s="64" t="s">
        <v>38</v>
      </c>
      <c r="X143" s="280">
        <f t="shared" si="36"/>
        <v>-4.4963238291199229E-3</v>
      </c>
      <c r="Y143" s="288">
        <f t="shared" si="36"/>
        <v>-1.7140164577920281E-3</v>
      </c>
      <c r="Z143" s="289">
        <f t="shared" si="36"/>
        <v>-3.7970338498379231E-3</v>
      </c>
      <c r="AA143" s="290">
        <f t="shared" si="36"/>
        <v>0.30538081485452129</v>
      </c>
      <c r="AB143" s="290">
        <f t="shared" si="36"/>
        <v>0.44513120848147375</v>
      </c>
      <c r="AC143" s="290">
        <f t="shared" si="36"/>
        <v>7.6290228815878741E-2</v>
      </c>
      <c r="AD143" s="290">
        <f t="shared" si="36"/>
        <v>0.16204725932412981</v>
      </c>
      <c r="AE143" s="290">
        <f t="shared" si="36"/>
        <v>0.12136542276635522</v>
      </c>
      <c r="AF143" s="288">
        <f t="shared" si="36"/>
        <v>0.13727785279305071</v>
      </c>
    </row>
    <row r="144" spans="1:32" ht="24.75">
      <c r="A144" s="64" t="s">
        <v>57</v>
      </c>
      <c r="B144" s="59">
        <f>B143+B137</f>
        <v>380.40023339969412</v>
      </c>
      <c r="C144" s="59">
        <f t="shared" ref="C144:J144" si="38">C143+C137</f>
        <v>373.8311145040384</v>
      </c>
      <c r="D144" s="59">
        <f t="shared" si="38"/>
        <v>370.79646600554798</v>
      </c>
      <c r="E144" s="59">
        <f t="shared" si="38"/>
        <v>373.07255172804207</v>
      </c>
      <c r="F144" s="59">
        <f t="shared" si="38"/>
        <v>369.46964879113557</v>
      </c>
      <c r="G144" s="59">
        <f t="shared" si="38"/>
        <v>363.13819625666537</v>
      </c>
      <c r="H144" s="59">
        <f t="shared" si="38"/>
        <v>362.87547466859394</v>
      </c>
      <c r="I144" s="59">
        <f t="shared" si="38"/>
        <v>360.4453467683847</v>
      </c>
      <c r="J144" s="59">
        <f t="shared" si="38"/>
        <v>2954.0290321221023</v>
      </c>
      <c r="K144" s="211"/>
      <c r="L144" s="64" t="s">
        <v>39</v>
      </c>
      <c r="M144" s="59">
        <f t="shared" si="37"/>
        <v>-45.471261802016159</v>
      </c>
      <c r="N144" s="59">
        <f t="shared" si="37"/>
        <v>-50.621130650350608</v>
      </c>
      <c r="O144" s="59">
        <f t="shared" si="37"/>
        <v>-51.965147531547643</v>
      </c>
      <c r="P144" s="59">
        <f t="shared" si="37"/>
        <v>-30.348237111109142</v>
      </c>
      <c r="Q144" s="59">
        <f t="shared" si="37"/>
        <v>-40.901600576291344</v>
      </c>
      <c r="R144" s="59">
        <f t="shared" si="37"/>
        <v>-49.504923224321033</v>
      </c>
      <c r="S144" s="59">
        <f t="shared" si="37"/>
        <v>-39.951311305597926</v>
      </c>
      <c r="T144" s="59">
        <f t="shared" si="37"/>
        <v>-29.336009802287435</v>
      </c>
      <c r="U144" s="59">
        <f t="shared" si="37"/>
        <v>-338.09962200352084</v>
      </c>
      <c r="W144" s="64" t="s">
        <v>39</v>
      </c>
      <c r="X144" s="280">
        <f t="shared" si="36"/>
        <v>-0.1195353152011308</v>
      </c>
      <c r="Y144" s="280">
        <f t="shared" si="36"/>
        <v>-0.13541176399270469</v>
      </c>
      <c r="Z144" s="280">
        <f t="shared" si="36"/>
        <v>-0.14014466775087905</v>
      </c>
      <c r="AA144" s="280">
        <f t="shared" ref="AA144:AF176" si="39">P144/E144</f>
        <v>-8.1346743335950461E-2</v>
      </c>
      <c r="AB144" s="280">
        <f t="shared" si="39"/>
        <v>-0.11070354685457093</v>
      </c>
      <c r="AC144" s="280">
        <f t="shared" si="39"/>
        <v>-0.13632529911375957</v>
      </c>
      <c r="AD144" s="280">
        <f t="shared" si="39"/>
        <v>-0.11009647687566806</v>
      </c>
      <c r="AE144" s="280">
        <f t="shared" si="39"/>
        <v>-8.1388232821710399E-2</v>
      </c>
      <c r="AF144" s="280">
        <f t="shared" si="39"/>
        <v>-0.11445372348308924</v>
      </c>
    </row>
    <row r="145" spans="1:21">
      <c r="B145" s="67">
        <f>+(B185+B201)*'[1]Universal data'!$F$40-B144</f>
        <v>0</v>
      </c>
      <c r="C145" s="67">
        <f>+(C185+C201)*'[1]Universal data'!$F$40-C144</f>
        <v>0</v>
      </c>
      <c r="D145" s="67">
        <f>+(D185+D201)*'[1]Universal data'!$F$40-D144</f>
        <v>0</v>
      </c>
      <c r="E145" s="67">
        <f>+(E185+E201)*'[1]Universal data'!$F$40-E144</f>
        <v>0</v>
      </c>
      <c r="F145" s="67">
        <f>+(F185+F201)*'[1]Universal data'!$F$40-F144</f>
        <v>0</v>
      </c>
      <c r="G145" s="67">
        <f>+(G185+G201)*'[1]Universal data'!$F$40-G144</f>
        <v>0</v>
      </c>
      <c r="H145" s="67">
        <f>+(H185+H201)*'[1]Universal data'!$F$40-H144</f>
        <v>0</v>
      </c>
      <c r="I145" s="67">
        <f>+(I185+I201)*'[1]Universal data'!$F$40-I144</f>
        <v>0</v>
      </c>
      <c r="J145" s="67">
        <f>+(J185+J201)*'[1]Universal data'!$F$40-J144</f>
        <v>0</v>
      </c>
      <c r="K145" s="60"/>
      <c r="L145" s="60"/>
      <c r="M145" s="67"/>
      <c r="N145" s="60"/>
      <c r="O145" s="60"/>
      <c r="P145" s="60"/>
      <c r="Q145" s="60"/>
      <c r="R145" s="60"/>
      <c r="S145" s="60"/>
      <c r="T145" s="60"/>
      <c r="U145" s="60"/>
    </row>
    <row r="146" spans="1:21">
      <c r="B146" s="67"/>
      <c r="C146" s="60"/>
      <c r="D146" s="81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</row>
    <row r="147" spans="1:21">
      <c r="B147" s="67"/>
      <c r="C147" s="60"/>
      <c r="D147" s="81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</row>
    <row r="148" spans="1:21">
      <c r="A148" s="6" t="s">
        <v>58</v>
      </c>
      <c r="B148" s="67"/>
      <c r="C148" s="60"/>
      <c r="D148" s="81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</row>
    <row r="149" spans="1:21">
      <c r="A149" s="7" t="s">
        <v>59</v>
      </c>
      <c r="B149" s="67"/>
      <c r="C149" s="60"/>
      <c r="D149" s="81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</row>
    <row r="150" spans="1:21">
      <c r="A150" s="8"/>
      <c r="B150" s="199"/>
      <c r="C150" s="200"/>
      <c r="D150" s="201"/>
      <c r="E150" s="200"/>
      <c r="F150" s="200"/>
      <c r="G150" s="200"/>
      <c r="H150" s="200"/>
      <c r="I150" s="200"/>
      <c r="J150" s="202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</row>
    <row r="151" spans="1:21">
      <c r="A151" s="14"/>
      <c r="B151" s="203" t="s">
        <v>55</v>
      </c>
      <c r="C151" s="204"/>
      <c r="D151" s="204"/>
      <c r="E151" s="204"/>
      <c r="F151" s="204"/>
      <c r="G151" s="204"/>
      <c r="H151" s="204"/>
      <c r="I151" s="204"/>
      <c r="J151" s="205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</row>
    <row r="152" spans="1:21" ht="24.75">
      <c r="A152" s="21" t="s">
        <v>6</v>
      </c>
      <c r="B152" s="291">
        <v>2014</v>
      </c>
      <c r="C152" s="23">
        <v>2015</v>
      </c>
      <c r="D152" s="23">
        <v>2016</v>
      </c>
      <c r="E152" s="87">
        <v>2017</v>
      </c>
      <c r="F152" s="23">
        <v>2018</v>
      </c>
      <c r="G152" s="87">
        <v>2019</v>
      </c>
      <c r="H152" s="23">
        <v>2020</v>
      </c>
      <c r="I152" s="88">
        <v>2021</v>
      </c>
      <c r="J152" s="209" t="s">
        <v>5</v>
      </c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</row>
    <row r="153" spans="1:21">
      <c r="A153" s="24" t="s">
        <v>7</v>
      </c>
      <c r="B153" s="25">
        <v>13.812222201501326</v>
      </c>
      <c r="C153" s="292">
        <v>13.310140291023234</v>
      </c>
      <c r="D153" s="292">
        <v>11.943701374251241</v>
      </c>
      <c r="E153" s="292">
        <v>11.396600453932834</v>
      </c>
      <c r="F153" s="292">
        <v>12.784905688805805</v>
      </c>
      <c r="G153" s="292">
        <v>11.130853747008178</v>
      </c>
      <c r="H153" s="292">
        <v>10.327685816030868</v>
      </c>
      <c r="I153" s="293">
        <v>12.067262950194097</v>
      </c>
      <c r="J153" s="38">
        <v>96.773372522747579</v>
      </c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</row>
    <row r="154" spans="1:21">
      <c r="A154" s="24" t="s">
        <v>8</v>
      </c>
      <c r="B154" s="28">
        <v>6.5994471616505956</v>
      </c>
      <c r="C154" s="294">
        <v>6.9467798738310798</v>
      </c>
      <c r="D154" s="294">
        <v>7.1382842276772074</v>
      </c>
      <c r="E154" s="294">
        <v>7.8223200587800052</v>
      </c>
      <c r="F154" s="294">
        <v>7.1347317602947173</v>
      </c>
      <c r="G154" s="294">
        <v>7.3072361772813101</v>
      </c>
      <c r="H154" s="294">
        <v>7.3603814369296403</v>
      </c>
      <c r="I154" s="295">
        <v>7.4866928238874602</v>
      </c>
      <c r="J154" s="39">
        <v>57.795873520332016</v>
      </c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</row>
    <row r="155" spans="1:21">
      <c r="A155" s="24" t="s">
        <v>9</v>
      </c>
      <c r="B155" s="28">
        <v>7.826123420786427</v>
      </c>
      <c r="C155" s="294">
        <v>7.8380930443771435</v>
      </c>
      <c r="D155" s="294">
        <v>7.8484738350575762</v>
      </c>
      <c r="E155" s="294">
        <v>7.8655497932189853</v>
      </c>
      <c r="F155" s="294">
        <v>7.8754859969236204</v>
      </c>
      <c r="G155" s="294">
        <v>7.8759094736962094</v>
      </c>
      <c r="H155" s="294">
        <v>7.8783228427027581</v>
      </c>
      <c r="I155" s="295">
        <v>7.9393516489579241</v>
      </c>
      <c r="J155" s="39">
        <v>62.947310055720642</v>
      </c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</row>
    <row r="156" spans="1:21">
      <c r="A156" s="24" t="s">
        <v>10</v>
      </c>
      <c r="B156" s="28">
        <v>2.2657634509802915</v>
      </c>
      <c r="C156" s="294">
        <v>2.3664629960013515</v>
      </c>
      <c r="D156" s="294">
        <v>2.163769615551502</v>
      </c>
      <c r="E156" s="294">
        <v>3.1428076245539067</v>
      </c>
      <c r="F156" s="294">
        <v>2.8013326015098516</v>
      </c>
      <c r="G156" s="294">
        <v>2.8579974781389987</v>
      </c>
      <c r="H156" s="294">
        <v>2.7021497420345177</v>
      </c>
      <c r="I156" s="295">
        <v>3.1358749956372898</v>
      </c>
      <c r="J156" s="39">
        <v>21.436158504407711</v>
      </c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</row>
    <row r="157" spans="1:21">
      <c r="A157" s="24" t="s">
        <v>11</v>
      </c>
      <c r="B157" s="28">
        <v>22.426094781956106</v>
      </c>
      <c r="C157" s="294">
        <v>21.453579496109725</v>
      </c>
      <c r="D157" s="294">
        <v>16.043840065762485</v>
      </c>
      <c r="E157" s="294">
        <v>13.159856363859241</v>
      </c>
      <c r="F157" s="294">
        <v>12.1456106221427</v>
      </c>
      <c r="G157" s="294">
        <v>11.934258500295723</v>
      </c>
      <c r="H157" s="294">
        <v>15.611724472445996</v>
      </c>
      <c r="I157" s="295">
        <v>15.069855306663513</v>
      </c>
      <c r="J157" s="39">
        <v>127.84481960923549</v>
      </c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</row>
    <row r="158" spans="1:21">
      <c r="A158" s="31" t="s">
        <v>12</v>
      </c>
      <c r="B158" s="28">
        <v>7.0366280005999435</v>
      </c>
      <c r="C158" s="294">
        <v>6.7355686363046452</v>
      </c>
      <c r="D158" s="294">
        <v>5.2484999195343134</v>
      </c>
      <c r="E158" s="294">
        <v>4.9573919647355043</v>
      </c>
      <c r="F158" s="294">
        <v>5.9858115513116896</v>
      </c>
      <c r="G158" s="294">
        <v>5.6819282012883656</v>
      </c>
      <c r="H158" s="294">
        <v>5.5659988580475144</v>
      </c>
      <c r="I158" s="295">
        <v>4.9856883828342076</v>
      </c>
      <c r="J158" s="39">
        <v>46.197515514656182</v>
      </c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</row>
    <row r="159" spans="1:21">
      <c r="A159" s="31" t="s">
        <v>13</v>
      </c>
      <c r="B159" s="28">
        <v>7.5876653482525604</v>
      </c>
      <c r="C159" s="294">
        <v>6.0407154894858621</v>
      </c>
      <c r="D159" s="294">
        <v>4.1958290866163939</v>
      </c>
      <c r="E159" s="294">
        <v>3.7968665057909212</v>
      </c>
      <c r="F159" s="294">
        <v>1.8755542860776628</v>
      </c>
      <c r="G159" s="294">
        <v>2.1720915001065526</v>
      </c>
      <c r="H159" s="294">
        <v>4.7345777786266678</v>
      </c>
      <c r="I159" s="295">
        <v>4.527005051613461</v>
      </c>
      <c r="J159" s="39">
        <v>34.930305046570084</v>
      </c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</row>
    <row r="160" spans="1:21">
      <c r="A160" s="35" t="s">
        <v>14</v>
      </c>
      <c r="B160" s="36">
        <v>52.929651016874743</v>
      </c>
      <c r="C160" s="36">
        <v>51.915055701342538</v>
      </c>
      <c r="D160" s="36">
        <v>45.13806911830001</v>
      </c>
      <c r="E160" s="36">
        <v>43.387134294344975</v>
      </c>
      <c r="F160" s="36">
        <v>42.742066669676696</v>
      </c>
      <c r="G160" s="36">
        <v>41.106255376420421</v>
      </c>
      <c r="H160" s="36">
        <v>43.880264310143779</v>
      </c>
      <c r="I160" s="36">
        <v>45.69903772534029</v>
      </c>
      <c r="J160" s="36">
        <v>366.79753421244351</v>
      </c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</row>
    <row r="161" spans="1:21">
      <c r="A161" s="24" t="s">
        <v>15</v>
      </c>
      <c r="B161" s="28">
        <v>0</v>
      </c>
      <c r="C161" s="294">
        <v>0</v>
      </c>
      <c r="D161" s="294">
        <v>0</v>
      </c>
      <c r="E161" s="294">
        <v>0</v>
      </c>
      <c r="F161" s="294">
        <v>0</v>
      </c>
      <c r="G161" s="294">
        <v>0</v>
      </c>
      <c r="H161" s="294">
        <v>0</v>
      </c>
      <c r="I161" s="295">
        <v>0</v>
      </c>
      <c r="J161" s="39">
        <v>0</v>
      </c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</row>
    <row r="162" spans="1:21">
      <c r="A162" s="24" t="s">
        <v>16</v>
      </c>
      <c r="B162" s="28">
        <v>0</v>
      </c>
      <c r="C162" s="294">
        <v>0</v>
      </c>
      <c r="D162" s="294">
        <v>0</v>
      </c>
      <c r="E162" s="294">
        <v>0</v>
      </c>
      <c r="F162" s="294">
        <v>0</v>
      </c>
      <c r="G162" s="294">
        <v>0</v>
      </c>
      <c r="H162" s="294">
        <v>0</v>
      </c>
      <c r="I162" s="295">
        <v>0</v>
      </c>
      <c r="J162" s="39">
        <v>0</v>
      </c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</row>
    <row r="163" spans="1:21">
      <c r="A163" s="24" t="s">
        <v>50</v>
      </c>
      <c r="B163" s="28">
        <v>0</v>
      </c>
      <c r="C163" s="294">
        <v>0</v>
      </c>
      <c r="D163" s="294">
        <v>0</v>
      </c>
      <c r="E163" s="294">
        <v>0</v>
      </c>
      <c r="F163" s="294">
        <v>0</v>
      </c>
      <c r="G163" s="294">
        <v>0</v>
      </c>
      <c r="H163" s="294">
        <v>0</v>
      </c>
      <c r="I163" s="295">
        <v>0</v>
      </c>
      <c r="J163" s="39">
        <v>0</v>
      </c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</row>
    <row r="164" spans="1:21">
      <c r="A164" s="35" t="s">
        <v>18</v>
      </c>
      <c r="B164" s="125">
        <v>76.492312091154446</v>
      </c>
      <c r="C164" s="296">
        <v>76.724561265965335</v>
      </c>
      <c r="D164" s="296">
        <v>77.371911487631834</v>
      </c>
      <c r="E164" s="296">
        <v>77.036909577116901</v>
      </c>
      <c r="F164" s="296">
        <v>76.47610569497364</v>
      </c>
      <c r="G164" s="296">
        <v>77.022913338828914</v>
      </c>
      <c r="H164" s="296">
        <v>77.664726741647954</v>
      </c>
      <c r="I164" s="297">
        <v>76.344577277477597</v>
      </c>
      <c r="J164" s="128">
        <v>615.13401747479656</v>
      </c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</row>
    <row r="165" spans="1:21">
      <c r="A165" s="44" t="s">
        <v>19</v>
      </c>
      <c r="B165" s="28">
        <v>19.074396630433853</v>
      </c>
      <c r="C165" s="294">
        <v>19.180328904868247</v>
      </c>
      <c r="D165" s="294">
        <v>21.059504651046126</v>
      </c>
      <c r="E165" s="294">
        <v>19.925836425646825</v>
      </c>
      <c r="F165" s="294">
        <v>19.020316348226618</v>
      </c>
      <c r="G165" s="294">
        <v>20.017359262664108</v>
      </c>
      <c r="H165" s="294">
        <v>20.286822656740505</v>
      </c>
      <c r="I165" s="295">
        <v>18.57232761841135</v>
      </c>
      <c r="J165" s="39">
        <v>157.13689249803761</v>
      </c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</row>
    <row r="166" spans="1:21">
      <c r="A166" s="44" t="s">
        <v>20</v>
      </c>
      <c r="B166" s="28">
        <v>13.157222266304929</v>
      </c>
      <c r="C166" s="294">
        <v>13.086024818521839</v>
      </c>
      <c r="D166" s="294">
        <v>13.23989018850196</v>
      </c>
      <c r="E166" s="294">
        <v>13.389605662593699</v>
      </c>
      <c r="F166" s="294">
        <v>13.298557622500622</v>
      </c>
      <c r="G166" s="294">
        <v>13.256335099871258</v>
      </c>
      <c r="H166" s="294">
        <v>13.186264863766922</v>
      </c>
      <c r="I166" s="295">
        <v>13.730490668644135</v>
      </c>
      <c r="J166" s="39">
        <v>106.34439119070538</v>
      </c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</row>
    <row r="167" spans="1:21">
      <c r="A167" s="44" t="s">
        <v>21</v>
      </c>
      <c r="B167" s="28">
        <v>11.583455193879857</v>
      </c>
      <c r="C167" s="294">
        <v>11.331607527173773</v>
      </c>
      <c r="D167" s="294">
        <v>11.122416875539718</v>
      </c>
      <c r="E167" s="294">
        <v>10.930997792713075</v>
      </c>
      <c r="F167" s="294">
        <v>10.735074273391717</v>
      </c>
      <c r="G167" s="294">
        <v>10.642514342629129</v>
      </c>
      <c r="H167" s="294">
        <v>10.423057040282472</v>
      </c>
      <c r="I167" s="295">
        <v>10.234337746865375</v>
      </c>
      <c r="J167" s="39">
        <v>87.003460792475124</v>
      </c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</row>
    <row r="168" spans="1:21">
      <c r="A168" s="44" t="s">
        <v>22</v>
      </c>
      <c r="B168" s="28">
        <v>10.430412027622765</v>
      </c>
      <c r="C168" s="294">
        <v>10.567997445413326</v>
      </c>
      <c r="D168" s="294">
        <v>10.746040589655811</v>
      </c>
      <c r="E168" s="294">
        <v>10.964789322363698</v>
      </c>
      <c r="F168" s="294">
        <v>10.841550158640253</v>
      </c>
      <c r="G168" s="294">
        <v>10.861579097184711</v>
      </c>
      <c r="H168" s="294">
        <v>10.743687398425518</v>
      </c>
      <c r="I168" s="295">
        <v>10.756769276287521</v>
      </c>
      <c r="J168" s="39">
        <v>85.912825315593608</v>
      </c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</row>
    <row r="169" spans="1:21">
      <c r="A169" s="44" t="s">
        <v>23</v>
      </c>
      <c r="B169" s="28">
        <v>0</v>
      </c>
      <c r="C169" s="294">
        <v>0</v>
      </c>
      <c r="D169" s="294">
        <v>0</v>
      </c>
      <c r="E169" s="294">
        <v>0</v>
      </c>
      <c r="F169" s="294">
        <v>0</v>
      </c>
      <c r="G169" s="294">
        <v>0</v>
      </c>
      <c r="H169" s="294">
        <v>0</v>
      </c>
      <c r="I169" s="295">
        <v>0</v>
      </c>
      <c r="J169" s="39">
        <v>0</v>
      </c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</row>
    <row r="170" spans="1:21">
      <c r="A170" s="44" t="s">
        <v>24</v>
      </c>
      <c r="B170" s="28">
        <v>6.9118082211096832</v>
      </c>
      <c r="C170" s="294">
        <v>5.8620479082264385</v>
      </c>
      <c r="D170" s="294">
        <v>6.3636718585180647</v>
      </c>
      <c r="E170" s="294">
        <v>6.3760481515439329</v>
      </c>
      <c r="F170" s="294">
        <v>6.3090834455611624</v>
      </c>
      <c r="G170" s="294">
        <v>6.6169859009368288</v>
      </c>
      <c r="H170" s="294">
        <v>6.8031355770674535</v>
      </c>
      <c r="I170" s="295">
        <v>6.6262083576364859</v>
      </c>
      <c r="J170" s="39">
        <v>51.868989420600045</v>
      </c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</row>
    <row r="171" spans="1:21">
      <c r="A171" s="31" t="s">
        <v>56</v>
      </c>
      <c r="B171" s="28">
        <v>4.25</v>
      </c>
      <c r="C171" s="294">
        <v>4.1230000000000002</v>
      </c>
      <c r="D171" s="294">
        <v>4.66</v>
      </c>
      <c r="E171" s="294">
        <v>5.109</v>
      </c>
      <c r="F171" s="294">
        <v>4.1859999999999999</v>
      </c>
      <c r="G171" s="294">
        <v>4.43</v>
      </c>
      <c r="H171" s="294">
        <v>4.6050000000000004</v>
      </c>
      <c r="I171" s="295">
        <v>4.4640000000000004</v>
      </c>
      <c r="J171" s="39">
        <v>35.827000000000005</v>
      </c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</row>
    <row r="172" spans="1:21">
      <c r="A172" s="47" t="s">
        <v>26</v>
      </c>
      <c r="B172" s="36">
        <v>61.157294339351083</v>
      </c>
      <c r="C172" s="36">
        <v>60.028006604203618</v>
      </c>
      <c r="D172" s="36">
        <v>62.531524163261686</v>
      </c>
      <c r="E172" s="36">
        <v>61.587277354861236</v>
      </c>
      <c r="F172" s="36">
        <v>60.204581848320373</v>
      </c>
      <c r="G172" s="36">
        <v>61.394773703286035</v>
      </c>
      <c r="H172" s="36">
        <v>61.442967536282865</v>
      </c>
      <c r="I172" s="36">
        <v>59.920133667844873</v>
      </c>
      <c r="J172" s="36">
        <v>488.26655921741178</v>
      </c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</row>
    <row r="173" spans="1:21">
      <c r="A173" s="44" t="s">
        <v>27</v>
      </c>
      <c r="B173" s="28">
        <v>19.022412296336512</v>
      </c>
      <c r="C173" s="294">
        <v>19.168985924632736</v>
      </c>
      <c r="D173" s="294">
        <v>19.355674184583901</v>
      </c>
      <c r="E173" s="294">
        <v>19.901076487281038</v>
      </c>
      <c r="F173" s="294">
        <v>19.926692592454287</v>
      </c>
      <c r="G173" s="294">
        <v>20.0596478619034</v>
      </c>
      <c r="H173" s="294">
        <v>20.167257244174746</v>
      </c>
      <c r="I173" s="295">
        <v>19.974595539981319</v>
      </c>
      <c r="J173" s="39">
        <v>157.57634213134793</v>
      </c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</row>
    <row r="174" spans="1:21">
      <c r="A174" s="44" t="s">
        <v>28</v>
      </c>
      <c r="B174" s="28">
        <v>3.249978665463122</v>
      </c>
      <c r="C174" s="294">
        <v>3.3973961248577109</v>
      </c>
      <c r="D174" s="294">
        <v>3.697855254920051</v>
      </c>
      <c r="E174" s="294">
        <v>3.7277264349022681</v>
      </c>
      <c r="F174" s="294">
        <v>3.9257894293926601</v>
      </c>
      <c r="G174" s="294">
        <v>3.7810190593922455</v>
      </c>
      <c r="H174" s="294">
        <v>3.7858128083159142</v>
      </c>
      <c r="I174" s="295">
        <v>3.8170476944703156</v>
      </c>
      <c r="J174" s="39">
        <v>29.382625471714288</v>
      </c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</row>
    <row r="175" spans="1:21">
      <c r="A175" s="51" t="s">
        <v>29</v>
      </c>
      <c r="B175" s="28">
        <v>22.272390961799633</v>
      </c>
      <c r="C175" s="42">
        <v>22.566382049490446</v>
      </c>
      <c r="D175" s="42">
        <v>23.053529439503951</v>
      </c>
      <c r="E175" s="42">
        <v>23.628802922183308</v>
      </c>
      <c r="F175" s="42">
        <v>23.852482021846946</v>
      </c>
      <c r="G175" s="42">
        <v>23.840666921295647</v>
      </c>
      <c r="H175" s="42">
        <v>23.953070052490659</v>
      </c>
      <c r="I175" s="42">
        <v>23.791643234451634</v>
      </c>
      <c r="J175" s="37">
        <v>186.95896760306223</v>
      </c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</row>
    <row r="176" spans="1:21">
      <c r="A176" s="52" t="s">
        <v>30</v>
      </c>
      <c r="B176" s="36">
        <v>83.429685301150712</v>
      </c>
      <c r="C176" s="36">
        <v>82.594388653694054</v>
      </c>
      <c r="D176" s="36">
        <v>85.58505360276564</v>
      </c>
      <c r="E176" s="36">
        <v>85.21608027704454</v>
      </c>
      <c r="F176" s="36">
        <v>84.057063870167326</v>
      </c>
      <c r="G176" s="36">
        <v>85.235440624581685</v>
      </c>
      <c r="H176" s="36">
        <v>85.396037588773524</v>
      </c>
      <c r="I176" s="36">
        <v>83.711776902296506</v>
      </c>
      <c r="J176" s="36">
        <v>675.22552682047399</v>
      </c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</row>
    <row r="177" spans="1:21">
      <c r="A177" s="141" t="s">
        <v>51</v>
      </c>
      <c r="B177" s="28">
        <v>0.3</v>
      </c>
      <c r="C177" s="294">
        <v>0.3</v>
      </c>
      <c r="D177" s="294">
        <v>0.3</v>
      </c>
      <c r="E177" s="294">
        <v>0.3</v>
      </c>
      <c r="F177" s="294">
        <v>0.3</v>
      </c>
      <c r="G177" s="294">
        <v>0.3</v>
      </c>
      <c r="H177" s="294">
        <v>0.3</v>
      </c>
      <c r="I177" s="295">
        <v>0.3</v>
      </c>
      <c r="J177" s="39">
        <v>2.4</v>
      </c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</row>
    <row r="178" spans="1:21">
      <c r="A178" s="55" t="s">
        <v>32</v>
      </c>
      <c r="B178" s="80">
        <v>212.85164840917992</v>
      </c>
      <c r="C178" s="80">
        <v>211.23400562100193</v>
      </c>
      <c r="D178" s="80">
        <v>208.09503420869748</v>
      </c>
      <c r="E178" s="80">
        <v>205.64012414850643</v>
      </c>
      <c r="F178" s="80">
        <v>203.27523623481764</v>
      </c>
      <c r="G178" s="80">
        <v>203.36460933983102</v>
      </c>
      <c r="H178" s="80">
        <v>206.94102864056526</v>
      </c>
      <c r="I178" s="80">
        <v>205.75539190511438</v>
      </c>
      <c r="J178" s="80">
        <v>1657.1570785077142</v>
      </c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</row>
    <row r="179" spans="1:21">
      <c r="A179" s="57" t="s">
        <v>33</v>
      </c>
      <c r="B179" s="28">
        <v>0</v>
      </c>
      <c r="C179" s="294">
        <v>0</v>
      </c>
      <c r="D179" s="294">
        <v>0</v>
      </c>
      <c r="E179" s="294">
        <v>0</v>
      </c>
      <c r="F179" s="294">
        <v>0</v>
      </c>
      <c r="G179" s="294">
        <v>0</v>
      </c>
      <c r="H179" s="294">
        <v>0</v>
      </c>
      <c r="I179" s="295">
        <v>0</v>
      </c>
      <c r="J179" s="39">
        <v>0</v>
      </c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</row>
    <row r="180" spans="1:21">
      <c r="A180" s="44" t="s">
        <v>34</v>
      </c>
      <c r="B180" s="25">
        <v>27.607495405209342</v>
      </c>
      <c r="C180" s="292">
        <v>27.607495405434193</v>
      </c>
      <c r="D180" s="292">
        <v>27.607495405656799</v>
      </c>
      <c r="E180" s="292">
        <v>27.607495405877174</v>
      </c>
      <c r="F180" s="292">
        <v>27.607495406095353</v>
      </c>
      <c r="G180" s="292">
        <v>27.607495406311344</v>
      </c>
      <c r="H180" s="292">
        <v>27.607495406525175</v>
      </c>
      <c r="I180" s="293">
        <v>27.607495406736867</v>
      </c>
      <c r="J180" s="38">
        <v>220.85996324784622</v>
      </c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</row>
    <row r="181" spans="1:21">
      <c r="A181" s="44" t="s">
        <v>35</v>
      </c>
      <c r="B181" s="28">
        <v>23.042107713393051</v>
      </c>
      <c r="C181" s="294">
        <v>23.058866329731906</v>
      </c>
      <c r="D181" s="294">
        <v>23.059950670422467</v>
      </c>
      <c r="E181" s="294">
        <v>23.059950670422467</v>
      </c>
      <c r="F181" s="294">
        <v>23.059950670422467</v>
      </c>
      <c r="G181" s="294">
        <v>23.059950670422467</v>
      </c>
      <c r="H181" s="294">
        <v>23.059950670422467</v>
      </c>
      <c r="I181" s="295">
        <v>23.059950670422467</v>
      </c>
      <c r="J181" s="39">
        <v>184.46067806565975</v>
      </c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</row>
    <row r="182" spans="1:21">
      <c r="A182" s="44" t="s">
        <v>36</v>
      </c>
      <c r="B182" s="28">
        <v>8.8693097690973381</v>
      </c>
      <c r="C182" s="294">
        <v>8.7480379185467037</v>
      </c>
      <c r="D182" s="294">
        <v>8.6829762866061735</v>
      </c>
      <c r="E182" s="294">
        <v>8.5166144432147775</v>
      </c>
      <c r="F182" s="294">
        <v>8.3901098043499669</v>
      </c>
      <c r="G182" s="294">
        <v>8.2672680805589636</v>
      </c>
      <c r="H182" s="294">
        <v>8.1428561715306849</v>
      </c>
      <c r="I182" s="295">
        <v>7.8469874944727245</v>
      </c>
      <c r="J182" s="39">
        <v>67.464159968377345</v>
      </c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</row>
    <row r="183" spans="1:21">
      <c r="A183" s="62" t="s">
        <v>37</v>
      </c>
      <c r="B183" s="28">
        <v>3.9468881505256448</v>
      </c>
      <c r="C183" s="298">
        <v>3.9468881505256448</v>
      </c>
      <c r="D183" s="298">
        <v>3.9468881505256448</v>
      </c>
      <c r="E183" s="298">
        <v>3.9468881505256448</v>
      </c>
      <c r="F183" s="298">
        <v>3.9468881505256448</v>
      </c>
      <c r="G183" s="298">
        <v>3.9468881505256448</v>
      </c>
      <c r="H183" s="298">
        <v>3.9468881505256448</v>
      </c>
      <c r="I183" s="299">
        <v>3.9468881505256448</v>
      </c>
      <c r="J183" s="41">
        <v>31.575105204205158</v>
      </c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</row>
    <row r="184" spans="1:21">
      <c r="A184" s="64" t="s">
        <v>38</v>
      </c>
      <c r="B184" s="65">
        <v>63.465801038225372</v>
      </c>
      <c r="C184" s="65">
        <v>63.361287804238451</v>
      </c>
      <c r="D184" s="170">
        <v>63.29731051321108</v>
      </c>
      <c r="E184" s="65">
        <v>63.130948670040063</v>
      </c>
      <c r="F184" s="65">
        <v>63.004444031393433</v>
      </c>
      <c r="G184" s="65">
        <v>62.881602307818419</v>
      </c>
      <c r="H184" s="65">
        <v>62.757190399003967</v>
      </c>
      <c r="I184" s="65">
        <v>62.461321722157699</v>
      </c>
      <c r="J184" s="65">
        <v>504.35990648608845</v>
      </c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</row>
    <row r="185" spans="1:21">
      <c r="A185" s="64" t="s">
        <v>60</v>
      </c>
      <c r="B185" s="59">
        <v>276.31744944740529</v>
      </c>
      <c r="C185" s="59">
        <v>274.59529342524036</v>
      </c>
      <c r="D185" s="59">
        <v>271.39234472190856</v>
      </c>
      <c r="E185" s="59">
        <v>268.77107281854649</v>
      </c>
      <c r="F185" s="59">
        <v>266.27968026621107</v>
      </c>
      <c r="G185" s="59">
        <v>266.24621164764943</v>
      </c>
      <c r="H185" s="59">
        <v>269.69821903956921</v>
      </c>
      <c r="I185" s="59">
        <v>268.2167136272721</v>
      </c>
      <c r="J185" s="59">
        <v>2161.5169849938025</v>
      </c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</row>
    <row r="186" spans="1:21">
      <c r="B186" s="67"/>
      <c r="C186" s="67"/>
      <c r="D186" s="67"/>
      <c r="E186" s="67"/>
      <c r="F186" s="67"/>
      <c r="G186" s="67"/>
      <c r="H186" s="67"/>
      <c r="I186" s="67"/>
      <c r="J186" s="67"/>
      <c r="K186" s="60"/>
      <c r="L186" s="60"/>
    </row>
    <row r="187" spans="1:21">
      <c r="A187" s="6" t="s">
        <v>61</v>
      </c>
      <c r="B187" s="300"/>
      <c r="C187" s="60"/>
      <c r="D187" s="81"/>
      <c r="E187" s="60"/>
      <c r="F187" s="60"/>
      <c r="G187" s="60"/>
      <c r="H187" s="60"/>
      <c r="I187" s="60"/>
      <c r="J187" s="300" t="str">
        <f>IF(ROUND((J185+J201)*VLOOKUP($A$3,'[1]Universal data'!$B$30:$F$41,5,FALSE),4)-(ROUND(J144,4))=0,"ok","error")</f>
        <v>ok</v>
      </c>
      <c r="K187" s="60"/>
      <c r="L187" s="60"/>
    </row>
    <row r="188" spans="1:21">
      <c r="A188" s="7" t="s">
        <v>62</v>
      </c>
      <c r="B188" s="67"/>
      <c r="C188" s="60"/>
      <c r="D188" s="81"/>
      <c r="E188" s="60"/>
      <c r="F188" s="60"/>
      <c r="G188" s="60"/>
      <c r="H188" s="60"/>
      <c r="I188" s="60"/>
      <c r="J188" s="60"/>
      <c r="K188" s="60"/>
      <c r="L188" s="60"/>
    </row>
    <row r="189" spans="1:21">
      <c r="A189" s="8"/>
      <c r="B189" s="199"/>
      <c r="C189" s="200"/>
      <c r="D189" s="201"/>
      <c r="E189" s="200"/>
      <c r="F189" s="200"/>
      <c r="G189" s="200"/>
      <c r="H189" s="200"/>
      <c r="I189" s="200"/>
      <c r="J189" s="202"/>
      <c r="K189" s="60"/>
      <c r="L189" s="60"/>
    </row>
    <row r="190" spans="1:21">
      <c r="A190" s="14"/>
      <c r="B190" s="203" t="s">
        <v>55</v>
      </c>
      <c r="C190" s="204"/>
      <c r="D190" s="204"/>
      <c r="E190" s="204"/>
      <c r="F190" s="204"/>
      <c r="G190" s="204"/>
      <c r="H190" s="204"/>
      <c r="I190" s="204"/>
      <c r="J190" s="205"/>
      <c r="K190" s="60"/>
      <c r="L190" s="60"/>
    </row>
    <row r="191" spans="1:21">
      <c r="A191" s="21" t="s">
        <v>63</v>
      </c>
      <c r="B191" s="22">
        <v>2014</v>
      </c>
      <c r="C191" s="301">
        <v>2015</v>
      </c>
      <c r="D191" s="301">
        <v>2016</v>
      </c>
      <c r="E191" s="302">
        <v>2017</v>
      </c>
      <c r="F191" s="301">
        <v>2018</v>
      </c>
      <c r="G191" s="302">
        <v>2019</v>
      </c>
      <c r="H191" s="301">
        <v>2020</v>
      </c>
      <c r="I191" s="303">
        <v>2021</v>
      </c>
      <c r="J191" s="304" t="s">
        <v>64</v>
      </c>
      <c r="K191" s="60"/>
      <c r="L191" s="60"/>
    </row>
    <row r="192" spans="1:21">
      <c r="A192" s="24" t="s">
        <v>41</v>
      </c>
      <c r="B192" s="74">
        <v>0</v>
      </c>
      <c r="C192" s="74">
        <v>0</v>
      </c>
      <c r="D192" s="74">
        <v>0</v>
      </c>
      <c r="E192" s="74">
        <v>0</v>
      </c>
      <c r="F192" s="74">
        <v>0</v>
      </c>
      <c r="G192" s="74">
        <v>0</v>
      </c>
      <c r="H192" s="74">
        <v>0</v>
      </c>
      <c r="I192" s="74">
        <v>0</v>
      </c>
      <c r="J192" s="74">
        <v>0</v>
      </c>
      <c r="K192" s="60"/>
      <c r="L192" s="60"/>
    </row>
    <row r="193" spans="1:11">
      <c r="A193" s="24" t="s">
        <v>42</v>
      </c>
      <c r="B193" s="73">
        <v>0.53381916960734976</v>
      </c>
      <c r="C193" s="73">
        <v>0.50611974098091816</v>
      </c>
      <c r="D193" s="73">
        <v>0.48326729592750239</v>
      </c>
      <c r="E193" s="73">
        <v>0.46275426914764783</v>
      </c>
      <c r="F193" s="73">
        <v>0.44870801175883501</v>
      </c>
      <c r="G193" s="73">
        <v>0.4343188999258184</v>
      </c>
      <c r="H193" s="73">
        <v>0.42266926342660399</v>
      </c>
      <c r="I193" s="73">
        <v>0.41159312805973397</v>
      </c>
      <c r="J193" s="73">
        <v>3.7032497788344094</v>
      </c>
    </row>
    <row r="194" spans="1:11">
      <c r="A194" s="24" t="s">
        <v>65</v>
      </c>
      <c r="B194" s="73">
        <v>0</v>
      </c>
      <c r="C194" s="73">
        <v>0.1388008764096488</v>
      </c>
      <c r="D194" s="73">
        <v>0.53164684887399905</v>
      </c>
      <c r="E194" s="73">
        <v>4.7192707852810312</v>
      </c>
      <c r="F194" s="73">
        <v>6.4060896965255019</v>
      </c>
      <c r="G194" s="73">
        <v>3.1160049010793629</v>
      </c>
      <c r="H194" s="73">
        <v>0</v>
      </c>
      <c r="I194" s="73">
        <v>0</v>
      </c>
      <c r="J194" s="73">
        <v>14.911813108169543</v>
      </c>
    </row>
    <row r="195" spans="1:11">
      <c r="A195" s="24" t="s">
        <v>66</v>
      </c>
      <c r="B195" s="73">
        <v>0</v>
      </c>
      <c r="C195" s="73">
        <v>0</v>
      </c>
      <c r="D195" s="73">
        <v>0</v>
      </c>
      <c r="E195" s="73">
        <v>0</v>
      </c>
      <c r="F195" s="73">
        <v>0</v>
      </c>
      <c r="G195" s="73">
        <v>0</v>
      </c>
      <c r="H195" s="73">
        <v>0</v>
      </c>
      <c r="I195" s="73">
        <v>0</v>
      </c>
      <c r="J195" s="73">
        <v>0</v>
      </c>
    </row>
    <row r="196" spans="1:11">
      <c r="A196" s="24" t="s">
        <v>67</v>
      </c>
      <c r="B196" s="73">
        <v>1.3072428887455487</v>
      </c>
      <c r="C196" s="73">
        <v>1.3072428887455487</v>
      </c>
      <c r="D196" s="73">
        <v>1.294170459858093</v>
      </c>
      <c r="E196" s="73">
        <v>1.6555575099891047</v>
      </c>
      <c r="F196" s="73">
        <v>1.3802227897473429</v>
      </c>
      <c r="G196" s="73">
        <v>1.3701638493971655</v>
      </c>
      <c r="H196" s="73">
        <v>1.3602054984504894</v>
      </c>
      <c r="I196" s="73">
        <v>1.3503467310132806</v>
      </c>
      <c r="J196" s="73">
        <v>11.025152615946572</v>
      </c>
    </row>
    <row r="197" spans="1:11">
      <c r="A197" s="24" t="s">
        <v>68</v>
      </c>
      <c r="B197" s="73">
        <v>4.2428730000000003</v>
      </c>
      <c r="C197" s="73">
        <v>0.96369719999999981</v>
      </c>
      <c r="D197" s="73">
        <v>1.4404854000000002</v>
      </c>
      <c r="E197" s="73">
        <v>1.2210823999999996</v>
      </c>
      <c r="F197" s="73">
        <v>1.4560831000000001</v>
      </c>
      <c r="G197" s="73">
        <v>0.91746450000000013</v>
      </c>
      <c r="H197" s="73">
        <v>1.1881304196983562</v>
      </c>
      <c r="I197" s="73">
        <v>1.2802988707951404</v>
      </c>
      <c r="J197" s="73">
        <v>12.710114890493495</v>
      </c>
    </row>
    <row r="198" spans="1:11">
      <c r="A198" s="24" t="s">
        <v>69</v>
      </c>
      <c r="B198" s="73">
        <v>-8.0326035156730313E-8</v>
      </c>
      <c r="C198" s="73">
        <v>2.0174689860541495E-3</v>
      </c>
      <c r="D198" s="73">
        <v>1.9474195945547734E-2</v>
      </c>
      <c r="E198" s="73">
        <v>1.9758688466890773E-2</v>
      </c>
      <c r="F198" s="73">
        <v>-0.25260648532332303</v>
      </c>
      <c r="G198" s="73">
        <v>-0.37466468249960527</v>
      </c>
      <c r="H198" s="73">
        <v>-0.49167961920808645</v>
      </c>
      <c r="I198" s="73">
        <v>-0.55075045678907097</v>
      </c>
      <c r="J198" s="73">
        <v>-1.628450970747628</v>
      </c>
    </row>
    <row r="199" spans="1:11">
      <c r="A199" s="24" t="s">
        <v>70</v>
      </c>
      <c r="B199" s="73">
        <v>-4.5518086588813844E-7</v>
      </c>
      <c r="C199" s="73">
        <v>1.1432324254306847E-2</v>
      </c>
      <c r="D199" s="73">
        <v>0.11035377702477049</v>
      </c>
      <c r="E199" s="73">
        <v>0.11196590131238104</v>
      </c>
      <c r="F199" s="73">
        <v>-1.4314367501654972</v>
      </c>
      <c r="G199" s="73">
        <v>-2.1230998674977632</v>
      </c>
      <c r="H199" s="73">
        <v>-2.7861845088458232</v>
      </c>
      <c r="I199" s="73">
        <v>-3.1209192551380691</v>
      </c>
      <c r="J199" s="73">
        <v>-9.2278888342365608</v>
      </c>
    </row>
    <row r="200" spans="1:11">
      <c r="A200" s="24"/>
      <c r="B200" s="73"/>
      <c r="C200" s="73"/>
      <c r="D200" s="73"/>
      <c r="E200" s="73"/>
      <c r="F200" s="73"/>
      <c r="G200" s="73"/>
      <c r="H200" s="73"/>
      <c r="I200" s="73"/>
      <c r="J200" s="73"/>
    </row>
    <row r="201" spans="1:11">
      <c r="A201" s="35" t="s">
        <v>71</v>
      </c>
      <c r="B201" s="242">
        <v>6.0839345228459987</v>
      </c>
      <c r="C201" s="242">
        <v>2.9293104993764771</v>
      </c>
      <c r="D201" s="242">
        <v>3.879397977629913</v>
      </c>
      <c r="E201" s="305">
        <v>8.1903895541970542</v>
      </c>
      <c r="F201" s="242">
        <v>8.0070603625428607</v>
      </c>
      <c r="G201" s="242">
        <v>3.3401876004049784</v>
      </c>
      <c r="H201" s="242">
        <v>-0.30685894647846013</v>
      </c>
      <c r="I201" s="242">
        <v>-0.62943098205898496</v>
      </c>
      <c r="J201" s="242">
        <v>31.49399058845983</v>
      </c>
    </row>
    <row r="202" spans="1:11">
      <c r="B202" s="67"/>
      <c r="C202" s="60"/>
      <c r="D202" s="81"/>
      <c r="E202" s="60"/>
      <c r="F202" s="60"/>
      <c r="G202" s="60"/>
      <c r="H202" s="60"/>
      <c r="I202" s="60"/>
      <c r="J202" s="60">
        <v>0</v>
      </c>
      <c r="K202" s="5" t="s">
        <v>72</v>
      </c>
    </row>
    <row r="203" spans="1:11">
      <c r="B203" s="67"/>
      <c r="C203" s="60"/>
      <c r="D203" s="81"/>
      <c r="E203" s="60"/>
      <c r="F203" s="60"/>
      <c r="G203" s="60"/>
      <c r="H203" s="60"/>
      <c r="I203" s="60"/>
      <c r="J203" s="60"/>
    </row>
    <row r="204" spans="1:11">
      <c r="A204" s="6" t="s">
        <v>73</v>
      </c>
      <c r="B204" s="67"/>
      <c r="C204" s="60"/>
      <c r="D204" s="81"/>
      <c r="E204" s="60"/>
      <c r="F204" s="60"/>
      <c r="G204" s="60"/>
      <c r="H204" s="60"/>
      <c r="I204" s="60"/>
      <c r="J204" s="60"/>
    </row>
    <row r="205" spans="1:11">
      <c r="A205" s="7"/>
      <c r="B205" s="67"/>
      <c r="C205" s="60"/>
      <c r="D205" s="81"/>
      <c r="E205" s="60"/>
      <c r="F205" s="60"/>
      <c r="G205" s="60"/>
      <c r="H205" s="60"/>
      <c r="I205" s="60"/>
      <c r="J205" s="60"/>
    </row>
    <row r="206" spans="1:11">
      <c r="A206" s="8"/>
      <c r="B206" s="199"/>
      <c r="C206" s="200"/>
      <c r="D206" s="201"/>
      <c r="E206" s="200"/>
      <c r="F206" s="200"/>
      <c r="G206" s="200"/>
      <c r="H206" s="200"/>
      <c r="I206" s="200"/>
      <c r="J206" s="202"/>
    </row>
    <row r="207" spans="1:11">
      <c r="A207" s="14"/>
      <c r="B207" s="203" t="s">
        <v>55</v>
      </c>
      <c r="C207" s="204"/>
      <c r="D207" s="204"/>
      <c r="E207" s="204"/>
      <c r="F207" s="204"/>
      <c r="G207" s="204"/>
      <c r="H207" s="204"/>
      <c r="I207" s="204"/>
      <c r="J207" s="205"/>
    </row>
    <row r="208" spans="1:11">
      <c r="A208" s="21" t="s">
        <v>6</v>
      </c>
      <c r="B208" s="22">
        <v>2014</v>
      </c>
      <c r="C208" s="301">
        <v>2015</v>
      </c>
      <c r="D208" s="301">
        <v>2016</v>
      </c>
      <c r="E208" s="302">
        <v>2017</v>
      </c>
      <c r="F208" s="301">
        <v>2018</v>
      </c>
      <c r="G208" s="302">
        <v>2019</v>
      </c>
      <c r="H208" s="301">
        <v>2020</v>
      </c>
      <c r="I208" s="303">
        <v>2021</v>
      </c>
      <c r="J208" s="304" t="s">
        <v>64</v>
      </c>
    </row>
    <row r="209" spans="1:10">
      <c r="A209" s="24" t="s">
        <v>7</v>
      </c>
      <c r="B209" s="74"/>
      <c r="C209" s="179"/>
      <c r="D209" s="74"/>
      <c r="E209" s="179"/>
      <c r="F209" s="179"/>
      <c r="G209" s="179"/>
      <c r="H209" s="179"/>
      <c r="I209" s="179"/>
      <c r="J209" s="179">
        <v>0</v>
      </c>
    </row>
    <row r="210" spans="1:10">
      <c r="A210" s="24" t="s">
        <v>8</v>
      </c>
      <c r="B210" s="73">
        <v>1.3072428887455487</v>
      </c>
      <c r="C210" s="183">
        <v>1.3072428887455487</v>
      </c>
      <c r="D210" s="73">
        <v>1.294170459858093</v>
      </c>
      <c r="E210" s="183">
        <v>1.6555575099891047</v>
      </c>
      <c r="F210" s="183">
        <v>1.3802227897473429</v>
      </c>
      <c r="G210" s="183">
        <v>1.3701638493971655</v>
      </c>
      <c r="H210" s="183">
        <v>1.3602054984504894</v>
      </c>
      <c r="I210" s="183">
        <v>1.3503467310132806</v>
      </c>
      <c r="J210" s="183">
        <v>11.025152615946572</v>
      </c>
    </row>
    <row r="211" spans="1:10">
      <c r="A211" s="24" t="s">
        <v>9</v>
      </c>
      <c r="B211" s="73"/>
      <c r="C211" s="183"/>
      <c r="D211" s="73"/>
      <c r="E211" s="183"/>
      <c r="F211" s="183"/>
      <c r="G211" s="183"/>
      <c r="H211" s="183"/>
      <c r="I211" s="183"/>
      <c r="J211" s="183">
        <v>0</v>
      </c>
    </row>
    <row r="212" spans="1:10">
      <c r="A212" s="24" t="s">
        <v>10</v>
      </c>
      <c r="B212" s="73"/>
      <c r="C212" s="224"/>
      <c r="D212" s="73"/>
      <c r="E212" s="183"/>
      <c r="F212" s="183"/>
      <c r="G212" s="183"/>
      <c r="H212" s="183"/>
      <c r="I212" s="183"/>
      <c r="J212" s="183">
        <v>0</v>
      </c>
    </row>
    <row r="213" spans="1:10">
      <c r="A213" s="24" t="s">
        <v>11</v>
      </c>
      <c r="B213" s="73">
        <v>2.6690878154332333E-2</v>
      </c>
      <c r="C213" s="224">
        <v>0.16612433244474886</v>
      </c>
      <c r="D213" s="73">
        <v>0.57528440961592187</v>
      </c>
      <c r="E213" s="183">
        <v>4.7621671872053044</v>
      </c>
      <c r="F213" s="183">
        <v>6.1759186117901201</v>
      </c>
      <c r="G213" s="183">
        <v>2.7630561635760484</v>
      </c>
      <c r="H213" s="183">
        <v>-0.47054615603675626</v>
      </c>
      <c r="I213" s="183">
        <v>-0.53017080038608433</v>
      </c>
      <c r="J213" s="183">
        <v>13.468524626363637</v>
      </c>
    </row>
    <row r="214" spans="1:10">
      <c r="A214" s="31" t="s">
        <v>12</v>
      </c>
      <c r="B214" s="306"/>
      <c r="C214" s="233"/>
      <c r="D214" s="306"/>
      <c r="E214" s="259"/>
      <c r="F214" s="259"/>
      <c r="G214" s="259"/>
      <c r="H214" s="259"/>
      <c r="I214" s="259"/>
      <c r="J214" s="259">
        <v>0</v>
      </c>
    </row>
    <row r="215" spans="1:10">
      <c r="A215" s="31" t="s">
        <v>13</v>
      </c>
      <c r="B215" s="306"/>
      <c r="C215" s="233"/>
      <c r="D215" s="306"/>
      <c r="E215" s="259"/>
      <c r="F215" s="259"/>
      <c r="G215" s="259"/>
      <c r="H215" s="259"/>
      <c r="I215" s="259"/>
      <c r="J215" s="259">
        <v>0</v>
      </c>
    </row>
    <row r="216" spans="1:10">
      <c r="A216" s="35" t="s">
        <v>14</v>
      </c>
      <c r="B216" s="242">
        <v>1.333933766899881</v>
      </c>
      <c r="C216" s="242">
        <v>1.4733672211902975</v>
      </c>
      <c r="D216" s="242">
        <v>1.8694548694740147</v>
      </c>
      <c r="E216" s="242">
        <v>6.4177246971944086</v>
      </c>
      <c r="F216" s="242">
        <v>7.5561414015374631</v>
      </c>
      <c r="G216" s="242">
        <v>4.1332200129732142</v>
      </c>
      <c r="H216" s="242">
        <v>0.88965934241373312</v>
      </c>
      <c r="I216" s="242">
        <v>0.82017593062719629</v>
      </c>
      <c r="J216" s="242">
        <v>24.493677242310209</v>
      </c>
    </row>
    <row r="217" spans="1:10">
      <c r="A217" s="24" t="s">
        <v>15</v>
      </c>
      <c r="B217" s="74">
        <v>4.5898554602447774</v>
      </c>
      <c r="C217" s="74">
        <v>1.2926750316375966</v>
      </c>
      <c r="D217" s="74">
        <v>1.7546091423528769</v>
      </c>
      <c r="E217" s="74">
        <v>1.5218726749459708</v>
      </c>
      <c r="F217" s="74">
        <v>1.7477433076432427</v>
      </c>
      <c r="G217" s="74">
        <v>1.1997717849517822</v>
      </c>
      <c r="H217" s="74">
        <v>1.4628654409256487</v>
      </c>
      <c r="I217" s="74">
        <v>1.5478344040339675</v>
      </c>
      <c r="J217" s="183">
        <v>15.117227246735862</v>
      </c>
    </row>
    <row r="218" spans="1:10">
      <c r="A218" s="24" t="s">
        <v>16</v>
      </c>
      <c r="B218" s="73"/>
      <c r="C218" s="73"/>
      <c r="D218" s="73"/>
      <c r="E218" s="73"/>
      <c r="F218" s="73"/>
      <c r="G218" s="73"/>
      <c r="H218" s="73"/>
      <c r="I218" s="73"/>
      <c r="J218" s="183">
        <v>0</v>
      </c>
    </row>
    <row r="219" spans="1:10">
      <c r="A219" s="24" t="s">
        <v>50</v>
      </c>
      <c r="B219" s="187"/>
      <c r="C219" s="187"/>
      <c r="D219" s="187"/>
      <c r="E219" s="187"/>
      <c r="F219" s="187"/>
      <c r="G219" s="187"/>
      <c r="H219" s="187"/>
      <c r="I219" s="187"/>
      <c r="J219" s="183">
        <v>0</v>
      </c>
    </row>
    <row r="220" spans="1:10">
      <c r="A220" s="35" t="s">
        <v>18</v>
      </c>
      <c r="B220" s="242">
        <v>4.5898554602447774</v>
      </c>
      <c r="C220" s="242">
        <v>1.2926750316375966</v>
      </c>
      <c r="D220" s="242">
        <v>1.7546091423528769</v>
      </c>
      <c r="E220" s="242">
        <v>1.5218726749459708</v>
      </c>
      <c r="F220" s="242">
        <v>1.7477433076432427</v>
      </c>
      <c r="G220" s="242">
        <v>1.1997717849517822</v>
      </c>
      <c r="H220" s="242">
        <v>1.4628654409256487</v>
      </c>
      <c r="I220" s="242">
        <v>1.5478344040339675</v>
      </c>
      <c r="J220" s="242">
        <v>15.117227246735862</v>
      </c>
    </row>
    <row r="221" spans="1:10">
      <c r="A221" s="44" t="s">
        <v>19</v>
      </c>
      <c r="B221" s="73"/>
      <c r="C221" s="224"/>
      <c r="D221" s="307"/>
      <c r="E221" s="183"/>
      <c r="F221" s="308"/>
      <c r="G221" s="183"/>
      <c r="H221" s="308"/>
      <c r="I221" s="183"/>
      <c r="J221" s="183">
        <v>0</v>
      </c>
    </row>
    <row r="222" spans="1:10">
      <c r="A222" s="44" t="s">
        <v>20</v>
      </c>
      <c r="B222" s="221"/>
      <c r="C222" s="183"/>
      <c r="D222" s="307"/>
      <c r="E222" s="183"/>
      <c r="F222" s="308"/>
      <c r="G222" s="183"/>
      <c r="H222" s="308"/>
      <c r="I222" s="183"/>
      <c r="J222" s="183">
        <v>0</v>
      </c>
    </row>
    <row r="223" spans="1:10">
      <c r="A223" s="44" t="s">
        <v>21</v>
      </c>
      <c r="B223" s="221"/>
      <c r="C223" s="183"/>
      <c r="D223" s="307"/>
      <c r="E223" s="183"/>
      <c r="F223" s="308"/>
      <c r="G223" s="183"/>
      <c r="H223" s="308"/>
      <c r="I223" s="183"/>
      <c r="J223" s="183">
        <v>0</v>
      </c>
    </row>
    <row r="224" spans="1:10">
      <c r="A224" s="44" t="s">
        <v>22</v>
      </c>
      <c r="B224" s="221"/>
      <c r="C224" s="183"/>
      <c r="D224" s="307"/>
      <c r="E224" s="183"/>
      <c r="F224" s="308"/>
      <c r="G224" s="183"/>
      <c r="H224" s="308"/>
      <c r="I224" s="183"/>
      <c r="J224" s="183">
        <v>0</v>
      </c>
    </row>
    <row r="225" spans="1:10">
      <c r="A225" s="44" t="s">
        <v>23</v>
      </c>
      <c r="B225" s="221"/>
      <c r="C225" s="183"/>
      <c r="D225" s="307"/>
      <c r="E225" s="183"/>
      <c r="F225" s="308"/>
      <c r="G225" s="183"/>
      <c r="H225" s="308"/>
      <c r="I225" s="183"/>
      <c r="J225" s="183">
        <v>0</v>
      </c>
    </row>
    <row r="226" spans="1:10">
      <c r="A226" s="44" t="s">
        <v>24</v>
      </c>
      <c r="B226" s="221">
        <v>0.16014529570133904</v>
      </c>
      <c r="C226" s="183">
        <v>0.1632682465485823</v>
      </c>
      <c r="D226" s="307">
        <v>0.2553339658030212</v>
      </c>
      <c r="E226" s="183">
        <v>0.25079218205667542</v>
      </c>
      <c r="F226" s="308">
        <v>-1.2968243466378466</v>
      </c>
      <c r="G226" s="183">
        <v>-1.9928041975200177</v>
      </c>
      <c r="H226" s="308">
        <v>-2.6593837298178422</v>
      </c>
      <c r="I226" s="183">
        <v>-2.997441316720149</v>
      </c>
      <c r="J226" s="183">
        <v>-8.116913900586237</v>
      </c>
    </row>
    <row r="227" spans="1:10">
      <c r="A227" s="31" t="s">
        <v>56</v>
      </c>
      <c r="B227" s="230">
        <v>-4.5518086588813844E-7</v>
      </c>
      <c r="C227" s="259">
        <v>1.1432324254306847E-2</v>
      </c>
      <c r="D227" s="309">
        <v>0.11035377702477049</v>
      </c>
      <c r="E227" s="259">
        <v>0.11196590131238104</v>
      </c>
      <c r="F227" s="310">
        <v>-1.4314367501654972</v>
      </c>
      <c r="G227" s="259">
        <v>-2.1230998674977632</v>
      </c>
      <c r="H227" s="310">
        <v>-2.7861845088458232</v>
      </c>
      <c r="I227" s="259">
        <v>-3.1209192551380691</v>
      </c>
      <c r="J227" s="259">
        <v>-9.2278888342365608</v>
      </c>
    </row>
    <row r="228" spans="1:10">
      <c r="A228" s="47" t="s">
        <v>26</v>
      </c>
      <c r="B228" s="261">
        <v>0.16014529570133904</v>
      </c>
      <c r="C228" s="261">
        <v>0.1632682465485823</v>
      </c>
      <c r="D228" s="261">
        <v>0.2553339658030212</v>
      </c>
      <c r="E228" s="261">
        <v>0.25079218205667542</v>
      </c>
      <c r="F228" s="261">
        <v>-1.2968243466378466</v>
      </c>
      <c r="G228" s="261">
        <v>-1.9928041975200177</v>
      </c>
      <c r="H228" s="261">
        <v>-2.6593837298178422</v>
      </c>
      <c r="I228" s="261">
        <v>-2.997441316720149</v>
      </c>
      <c r="J228" s="261">
        <v>-8.116913900586237</v>
      </c>
    </row>
    <row r="229" spans="1:10">
      <c r="A229" s="44" t="s">
        <v>27</v>
      </c>
      <c r="B229" s="267"/>
      <c r="C229" s="268"/>
      <c r="D229" s="311"/>
      <c r="E229" s="268"/>
      <c r="F229" s="312"/>
      <c r="G229" s="268"/>
      <c r="H229" s="312"/>
      <c r="I229" s="268"/>
      <c r="J229" s="268">
        <v>0</v>
      </c>
    </row>
    <row r="230" spans="1:10">
      <c r="A230" s="44" t="s">
        <v>28</v>
      </c>
      <c r="B230" s="267"/>
      <c r="C230" s="268"/>
      <c r="D230" s="311"/>
      <c r="E230" s="268"/>
      <c r="F230" s="312"/>
      <c r="G230" s="268"/>
      <c r="H230" s="312"/>
      <c r="I230" s="268"/>
      <c r="J230" s="268">
        <v>0</v>
      </c>
    </row>
    <row r="231" spans="1:10">
      <c r="A231" s="51" t="s">
        <v>29</v>
      </c>
      <c r="B231" s="221"/>
      <c r="C231" s="183"/>
      <c r="D231" s="307"/>
      <c r="E231" s="183"/>
      <c r="F231" s="308"/>
      <c r="G231" s="183"/>
      <c r="H231" s="308"/>
      <c r="I231" s="183"/>
      <c r="J231" s="73">
        <v>0</v>
      </c>
    </row>
    <row r="232" spans="1:10">
      <c r="A232" s="52" t="s">
        <v>30</v>
      </c>
      <c r="B232" s="261">
        <v>0.16014529570133904</v>
      </c>
      <c r="C232" s="261">
        <v>0.1632682465485823</v>
      </c>
      <c r="D232" s="261">
        <v>0.2553339658030212</v>
      </c>
      <c r="E232" s="261">
        <v>0.25079218205667542</v>
      </c>
      <c r="F232" s="261">
        <v>-1.2968243466378466</v>
      </c>
      <c r="G232" s="261">
        <v>-1.9928041975200177</v>
      </c>
      <c r="H232" s="261">
        <v>-2.6593837298178422</v>
      </c>
      <c r="I232" s="261">
        <v>-2.997441316720149</v>
      </c>
      <c r="J232" s="261">
        <v>-8.116913900586237</v>
      </c>
    </row>
    <row r="233" spans="1:10">
      <c r="A233" s="313" t="s">
        <v>32</v>
      </c>
      <c r="B233" s="261">
        <v>6.0839345228459969</v>
      </c>
      <c r="C233" s="261">
        <v>2.9293104993764763</v>
      </c>
      <c r="D233" s="261">
        <v>3.879397977629913</v>
      </c>
      <c r="E233" s="314">
        <v>8.1903895541970542</v>
      </c>
      <c r="F233" s="261">
        <v>8.0070603625428589</v>
      </c>
      <c r="G233" s="261">
        <v>3.3401876004049784</v>
      </c>
      <c r="H233" s="261">
        <v>-0.30685894647846035</v>
      </c>
      <c r="I233" s="261">
        <v>-0.62943098205898518</v>
      </c>
      <c r="J233" s="261">
        <v>31.493990588459834</v>
      </c>
    </row>
    <row r="234" spans="1:10">
      <c r="G234" s="315"/>
    </row>
    <row r="235" spans="1:10">
      <c r="B235" s="316" t="str">
        <f>IF(B201=B233,"OK","Error")</f>
        <v>OK</v>
      </c>
      <c r="C235" s="316" t="str">
        <f t="shared" ref="C235:J235" si="40">IF(C201=C233,"OK","Error")</f>
        <v>OK</v>
      </c>
      <c r="D235" s="316" t="str">
        <f t="shared" si="40"/>
        <v>OK</v>
      </c>
      <c r="E235" s="316" t="str">
        <f t="shared" si="40"/>
        <v>OK</v>
      </c>
      <c r="F235" s="316" t="str">
        <f t="shared" si="40"/>
        <v>OK</v>
      </c>
      <c r="G235" s="316" t="str">
        <f t="shared" si="40"/>
        <v>OK</v>
      </c>
      <c r="H235" s="316" t="str">
        <f t="shared" si="40"/>
        <v>OK</v>
      </c>
      <c r="I235" s="316" t="str">
        <f t="shared" si="40"/>
        <v>OK</v>
      </c>
      <c r="J235" s="316" t="str">
        <f t="shared" si="40"/>
        <v>OK</v>
      </c>
    </row>
    <row r="237" spans="1:10">
      <c r="A237" s="5" t="s">
        <v>74</v>
      </c>
    </row>
    <row r="238" spans="1:10">
      <c r="A238" s="5" t="s">
        <v>75</v>
      </c>
    </row>
  </sheetData>
  <mergeCells count="13">
    <mergeCell ref="M59:T60"/>
    <mergeCell ref="U59:U61"/>
    <mergeCell ref="X59:AE60"/>
    <mergeCell ref="AF59:AF61"/>
    <mergeCell ref="M110:U110"/>
    <mergeCell ref="X110:AF110"/>
    <mergeCell ref="B9:G10"/>
    <mergeCell ref="H9:H10"/>
    <mergeCell ref="I9:I10"/>
    <mergeCell ref="J9:J11"/>
    <mergeCell ref="B59:G60"/>
    <mergeCell ref="H59:I60"/>
    <mergeCell ref="J59:J61"/>
  </mergeCells>
  <conditionalFormatting sqref="J187">
    <cfRule type="cellIs" dxfId="1" priority="2" operator="equal">
      <formula>"error"</formula>
    </cfRule>
  </conditionalFormatting>
  <conditionalFormatting sqref="B187">
    <cfRule type="cellIs" dxfId="0" priority="1" operator="equal">
      <formula>"error"</formula>
    </cfRule>
  </conditionalFormatting>
  <dataValidations count="1">
    <dataValidation type="list" allowBlank="1" showInputMessage="1" showErrorMessage="1" sqref="B1" xr:uid="{1D19153C-B985-4405-B1A2-A7F1C234EDDC}">
      <formula1>B935:B940</formula1>
    </dataValidation>
  </dataValidations>
  <pageMargins left="0.70866141732283472" right="0.70866141732283472" top="0.74803149606299213" bottom="0.74803149606299213" header="0.31496062992125984" footer="0.31496062992125984"/>
  <pageSetup paperSize="8" scale="39" fitToHeight="2" orientation="landscape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rowBreaks count="1" manualBreakCount="1">
    <brk id="10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67FCF-74D5-4A9E-9F4E-7B8CFED6FD75}">
  <sheetPr codeName="Sheet27">
    <tabColor theme="0" tint="-0.14999847407452621"/>
    <pageSetUpPr fitToPage="1"/>
  </sheetPr>
  <dimension ref="A1:AI93"/>
  <sheetViews>
    <sheetView zoomScale="70" zoomScaleNormal="70" workbookViewId="0">
      <selection activeCell="C235" sqref="C235"/>
    </sheetView>
  </sheetViews>
  <sheetFormatPr defaultColWidth="9.265625" defaultRowHeight="12.4"/>
  <cols>
    <col min="1" max="1" width="33.73046875" style="5" customWidth="1"/>
    <col min="2" max="2" width="19.73046875" style="5" customWidth="1"/>
    <col min="3" max="4" width="15" style="5" customWidth="1"/>
    <col min="5" max="5" width="15" style="6" customWidth="1"/>
    <col min="6" max="12" width="15" style="5" customWidth="1"/>
    <col min="13" max="13" width="32.73046875" style="5" customWidth="1"/>
    <col min="14" max="14" width="9.265625" style="5"/>
    <col min="15" max="15" width="10.265625" style="5" customWidth="1"/>
    <col min="16" max="16" width="11" style="5" bestFit="1" customWidth="1"/>
    <col min="17" max="17" width="11" style="6" bestFit="1" customWidth="1"/>
    <col min="18" max="19" width="11" style="5" bestFit="1" customWidth="1"/>
    <col min="20" max="22" width="9.3984375" style="5" bestFit="1" customWidth="1"/>
    <col min="23" max="23" width="13.265625" style="5" bestFit="1" customWidth="1"/>
    <col min="24" max="24" width="9.265625" style="5"/>
    <col min="25" max="25" width="32.3984375" style="5" customWidth="1"/>
    <col min="26" max="26" width="9.265625" style="5"/>
    <col min="27" max="34" width="10.73046875" style="5" bestFit="1" customWidth="1"/>
    <col min="35" max="35" width="13.73046875" style="5" bestFit="1" customWidth="1"/>
    <col min="36" max="16384" width="9.265625" style="5"/>
  </cols>
  <sheetData>
    <row r="1" spans="1:35" s="3" customFormat="1" ht="25.15">
      <c r="A1" s="1" t="str">
        <f>+'[1]Universal data'!$A$1</f>
        <v>Regulatory Reporting Pack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s="3" customFormat="1" ht="25.15">
      <c r="A2" s="1" t="str">
        <f>+'[1]Universal data'!$A$2</f>
        <v>Wales &amp; West Utilities PLC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s="3" customFormat="1" ht="25.15">
      <c r="A3" s="1" t="str">
        <f>+'[1]Universal data'!$A$3</f>
        <v>2019/20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5" spans="1:35" ht="19.899999999999999">
      <c r="A5" s="4" t="s">
        <v>76</v>
      </c>
    </row>
    <row r="7" spans="1:35">
      <c r="A7" s="6" t="s">
        <v>77</v>
      </c>
      <c r="B7" s="6"/>
    </row>
    <row r="9" spans="1:35" ht="12.75" customHeight="1">
      <c r="A9" s="8"/>
      <c r="B9" s="317"/>
      <c r="C9" s="318" t="s">
        <v>2</v>
      </c>
      <c r="D9" s="319"/>
      <c r="E9" s="319"/>
      <c r="F9" s="319"/>
      <c r="G9" s="319"/>
      <c r="H9" s="320"/>
      <c r="I9" s="321" t="s">
        <v>3</v>
      </c>
      <c r="J9" s="322" t="s">
        <v>4</v>
      </c>
      <c r="K9" s="323" t="s">
        <v>5</v>
      </c>
    </row>
    <row r="10" spans="1:35">
      <c r="A10" s="14"/>
      <c r="B10" s="324"/>
      <c r="C10" s="325"/>
      <c r="D10" s="326"/>
      <c r="E10" s="326"/>
      <c r="F10" s="326"/>
      <c r="G10" s="326"/>
      <c r="H10" s="327"/>
      <c r="I10" s="328"/>
      <c r="J10" s="329"/>
      <c r="K10" s="330"/>
    </row>
    <row r="11" spans="1:35">
      <c r="A11" s="21" t="s">
        <v>78</v>
      </c>
      <c r="B11" s="331"/>
      <c r="C11" s="332">
        <v>2014</v>
      </c>
      <c r="D11" s="333">
        <v>2015</v>
      </c>
      <c r="E11" s="333">
        <v>2016</v>
      </c>
      <c r="F11" s="333">
        <v>2017</v>
      </c>
      <c r="G11" s="333">
        <v>2018</v>
      </c>
      <c r="H11" s="333">
        <v>2019</v>
      </c>
      <c r="I11" s="333">
        <v>2020</v>
      </c>
      <c r="J11" s="333">
        <v>2021</v>
      </c>
      <c r="K11" s="334"/>
    </row>
    <row r="12" spans="1:35">
      <c r="A12" s="335" t="s">
        <v>79</v>
      </c>
      <c r="B12" s="336"/>
      <c r="C12" s="337"/>
      <c r="D12" s="338"/>
      <c r="E12" s="339"/>
      <c r="F12" s="340"/>
      <c r="G12" s="341"/>
      <c r="H12" s="341"/>
      <c r="I12" s="341"/>
      <c r="J12" s="341"/>
      <c r="K12" s="342"/>
    </row>
    <row r="13" spans="1:35" ht="13.5">
      <c r="A13" s="343" t="s">
        <v>80</v>
      </c>
      <c r="B13" s="344" t="s">
        <v>81</v>
      </c>
      <c r="C13" s="345">
        <f t="shared" ref="C13:H14" si="0">+C42</f>
        <v>5636</v>
      </c>
      <c r="D13" s="345">
        <f t="shared" si="0"/>
        <v>6424</v>
      </c>
      <c r="E13" s="345">
        <f t="shared" si="0"/>
        <v>5569</v>
      </c>
      <c r="F13" s="345">
        <f t="shared" si="0"/>
        <v>6421</v>
      </c>
      <c r="G13" s="345">
        <f t="shared" si="0"/>
        <v>6052</v>
      </c>
      <c r="H13" s="345">
        <f t="shared" si="0"/>
        <v>4889</v>
      </c>
      <c r="I13" s="346">
        <f>+'[1]7.4 PREs, Reports and Repairs '!$C$27</f>
        <v>4761</v>
      </c>
      <c r="J13" s="347">
        <v>6072.9116816219539</v>
      </c>
      <c r="K13" s="348">
        <f>SUM(C13:J13)</f>
        <v>45824.911681621954</v>
      </c>
    </row>
    <row r="14" spans="1:35" ht="13.5">
      <c r="A14" s="343" t="s">
        <v>82</v>
      </c>
      <c r="B14" s="349" t="s">
        <v>81</v>
      </c>
      <c r="C14" s="350">
        <f t="shared" si="0"/>
        <v>6317</v>
      </c>
      <c r="D14" s="350">
        <f t="shared" si="0"/>
        <v>5417</v>
      </c>
      <c r="E14" s="350">
        <f t="shared" si="0"/>
        <v>5943</v>
      </c>
      <c r="F14" s="350">
        <f t="shared" si="0"/>
        <v>5621</v>
      </c>
      <c r="G14" s="350">
        <f t="shared" si="0"/>
        <v>5249</v>
      </c>
      <c r="H14" s="350">
        <f t="shared" si="0"/>
        <v>5929</v>
      </c>
      <c r="I14" s="351">
        <f>+'[1]7.4 PREs, Reports and Repairs '!$C$28</f>
        <v>5772</v>
      </c>
      <c r="J14" s="352">
        <v>6245.1597440527376</v>
      </c>
      <c r="K14" s="353">
        <f>SUM(C14:J14)</f>
        <v>46493.15974405274</v>
      </c>
    </row>
    <row r="15" spans="1:35" ht="13.5">
      <c r="A15" s="343" t="s">
        <v>83</v>
      </c>
      <c r="B15" s="354" t="s">
        <v>81</v>
      </c>
      <c r="C15" s="355">
        <f>-'[1]3.9 LP Gasholders'!D28</f>
        <v>2</v>
      </c>
      <c r="D15" s="355">
        <f>-'[1]3.9 LP Gasholders'!E28</f>
        <v>7</v>
      </c>
      <c r="E15" s="355">
        <f>-'[1]3.9 LP Gasholders'!F28</f>
        <v>1</v>
      </c>
      <c r="F15" s="355">
        <f>-'[1]3.9 LP Gasholders'!G28</f>
        <v>0</v>
      </c>
      <c r="G15" s="355">
        <f>-'[1]3.9 LP Gasholders'!H28</f>
        <v>0</v>
      </c>
      <c r="H15" s="355">
        <f>-'[1]3.9 LP Gasholders'!I28</f>
        <v>0</v>
      </c>
      <c r="I15" s="355">
        <f>-'[1]3.9 LP Gasholders'!J28</f>
        <v>2</v>
      </c>
      <c r="J15" s="356">
        <v>0</v>
      </c>
      <c r="K15" s="357">
        <f>SUM(C15:J15)</f>
        <v>12</v>
      </c>
    </row>
    <row r="16" spans="1:35">
      <c r="A16" s="358"/>
      <c r="B16" s="359"/>
      <c r="C16" s="360"/>
      <c r="D16" s="360"/>
      <c r="E16" s="360"/>
      <c r="F16" s="360"/>
      <c r="G16" s="360"/>
      <c r="H16" s="360"/>
      <c r="I16" s="361"/>
      <c r="J16" s="362"/>
      <c r="K16" s="348"/>
    </row>
    <row r="17" spans="1:13">
      <c r="A17" s="363" t="s">
        <v>84</v>
      </c>
      <c r="B17" s="364"/>
      <c r="C17" s="365"/>
      <c r="D17" s="365"/>
      <c r="E17" s="365"/>
      <c r="F17" s="365"/>
      <c r="G17" s="365"/>
      <c r="H17" s="365"/>
      <c r="I17" s="366"/>
      <c r="J17" s="367"/>
      <c r="K17" s="357"/>
    </row>
    <row r="18" spans="1:13">
      <c r="A18" s="343" t="s">
        <v>85</v>
      </c>
      <c r="B18" s="368" t="s">
        <v>86</v>
      </c>
      <c r="C18" s="369">
        <f t="shared" ref="C18:H25" si="1">+C47</f>
        <v>11.31808</v>
      </c>
      <c r="D18" s="369">
        <f t="shared" si="1"/>
        <v>13.440419999999998</v>
      </c>
      <c r="E18" s="369">
        <f t="shared" si="1"/>
        <v>9.82315</v>
      </c>
      <c r="F18" s="369">
        <f t="shared" si="1"/>
        <v>12.604220000000002</v>
      </c>
      <c r="G18" s="369">
        <f t="shared" si="1"/>
        <v>17.505200000000002</v>
      </c>
      <c r="H18" s="369">
        <f t="shared" si="1"/>
        <v>22.7956</v>
      </c>
      <c r="I18" s="370">
        <f>'[1]4.4 Reinforcement'!$H$13+'[1]4.4 Reinforcement'!$H$19+'[1]4.4 Reinforcement'!$H$23+'[1]4.4 Reinforcement'!$H$29</f>
        <v>18.886199999999999</v>
      </c>
      <c r="J18" s="371">
        <v>24.850456666666663</v>
      </c>
      <c r="K18" s="372">
        <f t="shared" ref="K18:K25" si="2">SUM(C18:J18)</f>
        <v>131.22332666666668</v>
      </c>
    </row>
    <row r="19" spans="1:13" ht="13.5">
      <c r="A19" s="343" t="s">
        <v>87</v>
      </c>
      <c r="B19" s="349" t="s">
        <v>81</v>
      </c>
      <c r="C19" s="351">
        <f t="shared" si="1"/>
        <v>0</v>
      </c>
      <c r="D19" s="351">
        <f t="shared" si="1"/>
        <v>0</v>
      </c>
      <c r="E19" s="351">
        <f t="shared" si="1"/>
        <v>4</v>
      </c>
      <c r="F19" s="351">
        <f t="shared" si="1"/>
        <v>0</v>
      </c>
      <c r="G19" s="351">
        <f t="shared" si="1"/>
        <v>1</v>
      </c>
      <c r="H19" s="351">
        <f t="shared" si="1"/>
        <v>1</v>
      </c>
      <c r="I19" s="351">
        <f>SUM('[1]4.4 Reinforcement'!$H$30:$H$33)</f>
        <v>1</v>
      </c>
      <c r="J19" s="352">
        <v>2</v>
      </c>
      <c r="K19" s="373">
        <f t="shared" si="2"/>
        <v>9</v>
      </c>
    </row>
    <row r="20" spans="1:13" ht="13.5">
      <c r="A20" s="343" t="s">
        <v>88</v>
      </c>
      <c r="B20" s="354" t="s">
        <v>81</v>
      </c>
      <c r="C20" s="374">
        <f t="shared" si="1"/>
        <v>11498</v>
      </c>
      <c r="D20" s="374">
        <f t="shared" si="1"/>
        <v>11294</v>
      </c>
      <c r="E20" s="374">
        <f t="shared" si="1"/>
        <v>11640</v>
      </c>
      <c r="F20" s="374">
        <f t="shared" si="1"/>
        <v>11933</v>
      </c>
      <c r="G20" s="374">
        <f t="shared" si="1"/>
        <v>11074</v>
      </c>
      <c r="H20" s="374">
        <f t="shared" si="1"/>
        <v>10857</v>
      </c>
      <c r="I20" s="374">
        <f>'[1]4.6 Connections '!$H$28</f>
        <v>10227</v>
      </c>
      <c r="J20" s="356">
        <v>11370</v>
      </c>
      <c r="K20" s="357">
        <f t="shared" si="2"/>
        <v>89893</v>
      </c>
    </row>
    <row r="21" spans="1:13" ht="13.5">
      <c r="A21" s="343" t="s">
        <v>89</v>
      </c>
      <c r="B21" s="344" t="s">
        <v>81</v>
      </c>
      <c r="C21" s="345">
        <f t="shared" si="1"/>
        <v>2898</v>
      </c>
      <c r="D21" s="345">
        <f t="shared" si="1"/>
        <v>3595</v>
      </c>
      <c r="E21" s="345">
        <f t="shared" si="1"/>
        <v>3878</v>
      </c>
      <c r="F21" s="345">
        <f t="shared" si="1"/>
        <v>4463</v>
      </c>
      <c r="G21" s="345">
        <f t="shared" si="1"/>
        <v>4370</v>
      </c>
      <c r="H21" s="345">
        <f t="shared" si="1"/>
        <v>4097</v>
      </c>
      <c r="I21" s="346">
        <f>+'[1]4.6 Connections '!$H$15</f>
        <v>4109</v>
      </c>
      <c r="J21" s="347">
        <v>3843</v>
      </c>
      <c r="K21" s="348">
        <f t="shared" si="2"/>
        <v>31253</v>
      </c>
    </row>
    <row r="22" spans="1:13" ht="13.5">
      <c r="A22" s="343" t="s">
        <v>90</v>
      </c>
      <c r="B22" s="349" t="s">
        <v>81</v>
      </c>
      <c r="C22" s="350">
        <f t="shared" si="1"/>
        <v>5381</v>
      </c>
      <c r="D22" s="350">
        <f t="shared" si="1"/>
        <v>5508</v>
      </c>
      <c r="E22" s="350">
        <f t="shared" si="1"/>
        <v>5563</v>
      </c>
      <c r="F22" s="350">
        <f t="shared" si="1"/>
        <v>5235</v>
      </c>
      <c r="G22" s="350">
        <f t="shared" si="1"/>
        <v>4998</v>
      </c>
      <c r="H22" s="350">
        <f t="shared" si="1"/>
        <v>5086</v>
      </c>
      <c r="I22" s="351">
        <f>+'[1]4.6 Connections '!$H$16</f>
        <v>4461</v>
      </c>
      <c r="J22" s="352">
        <v>5012</v>
      </c>
      <c r="K22" s="353">
        <f t="shared" si="2"/>
        <v>41244</v>
      </c>
    </row>
    <row r="23" spans="1:13" ht="13.5">
      <c r="A23" s="343" t="s">
        <v>91</v>
      </c>
      <c r="B23" s="349" t="s">
        <v>81</v>
      </c>
      <c r="C23" s="350">
        <f t="shared" si="1"/>
        <v>587</v>
      </c>
      <c r="D23" s="350">
        <f t="shared" si="1"/>
        <v>530</v>
      </c>
      <c r="E23" s="350">
        <f t="shared" si="1"/>
        <v>640</v>
      </c>
      <c r="F23" s="350">
        <f t="shared" si="1"/>
        <v>639</v>
      </c>
      <c r="G23" s="350">
        <f t="shared" si="1"/>
        <v>655</v>
      </c>
      <c r="H23" s="350">
        <f t="shared" si="1"/>
        <v>591</v>
      </c>
      <c r="I23" s="351">
        <f>+'[1]4.6 Connections '!$H$18</f>
        <v>566</v>
      </c>
      <c r="J23" s="352">
        <v>598</v>
      </c>
      <c r="K23" s="353">
        <f t="shared" si="2"/>
        <v>4806</v>
      </c>
    </row>
    <row r="24" spans="1:13" ht="13.5">
      <c r="A24" s="343" t="s">
        <v>92</v>
      </c>
      <c r="B24" s="354" t="s">
        <v>81</v>
      </c>
      <c r="C24" s="355">
        <f t="shared" si="1"/>
        <v>2632</v>
      </c>
      <c r="D24" s="355">
        <f t="shared" si="1"/>
        <v>1661</v>
      </c>
      <c r="E24" s="355">
        <f t="shared" si="1"/>
        <v>1559</v>
      </c>
      <c r="F24" s="355">
        <f t="shared" si="1"/>
        <v>1596</v>
      </c>
      <c r="G24" s="355">
        <f t="shared" si="1"/>
        <v>1051</v>
      </c>
      <c r="H24" s="355">
        <f t="shared" si="1"/>
        <v>1083</v>
      </c>
      <c r="I24" s="374">
        <f>+'[1]4.6 Connections '!$H$17</f>
        <v>1091</v>
      </c>
      <c r="J24" s="356">
        <v>1917</v>
      </c>
      <c r="K24" s="357">
        <f t="shared" si="2"/>
        <v>12590</v>
      </c>
      <c r="M24" s="375"/>
    </row>
    <row r="25" spans="1:13" ht="13.5">
      <c r="A25" s="343" t="s">
        <v>93</v>
      </c>
      <c r="B25" s="376" t="s">
        <v>94</v>
      </c>
      <c r="C25" s="377">
        <f t="shared" si="1"/>
        <v>94</v>
      </c>
      <c r="D25" s="377">
        <f>+D54</f>
        <v>90</v>
      </c>
      <c r="E25" s="377">
        <f>+E54</f>
        <v>35</v>
      </c>
      <c r="F25" s="377">
        <f>+F54</f>
        <v>24</v>
      </c>
      <c r="G25" s="377">
        <f>+G54</f>
        <v>16</v>
      </c>
      <c r="H25" s="377">
        <f>+H54</f>
        <v>14</v>
      </c>
      <c r="I25" s="377">
        <f>SUM('[1]4.5 Governor(Replacement)'!$I$10:$I$14)</f>
        <v>22</v>
      </c>
      <c r="J25" s="378">
        <v>8</v>
      </c>
      <c r="K25" s="379">
        <f t="shared" si="2"/>
        <v>303</v>
      </c>
    </row>
    <row r="26" spans="1:13">
      <c r="A26" s="343"/>
      <c r="B26" s="359"/>
      <c r="C26" s="360"/>
      <c r="D26" s="360"/>
      <c r="E26" s="360"/>
      <c r="F26" s="360"/>
      <c r="G26" s="360"/>
      <c r="H26" s="360"/>
      <c r="I26" s="361"/>
      <c r="J26" s="362"/>
      <c r="K26" s="348"/>
    </row>
    <row r="27" spans="1:13">
      <c r="A27" s="380" t="s">
        <v>95</v>
      </c>
      <c r="B27" s="364"/>
      <c r="C27" s="365"/>
      <c r="D27" s="365"/>
      <c r="E27" s="365"/>
      <c r="F27" s="365"/>
      <c r="G27" s="365"/>
      <c r="H27" s="365"/>
      <c r="I27" s="366"/>
      <c r="J27" s="367"/>
      <c r="K27" s="357"/>
    </row>
    <row r="28" spans="1:13">
      <c r="A28" s="343" t="s">
        <v>96</v>
      </c>
      <c r="B28" s="368" t="s">
        <v>86</v>
      </c>
      <c r="C28" s="381">
        <f t="shared" ref="C28:H34" si="3">+C57</f>
        <v>333.40511999999995</v>
      </c>
      <c r="D28" s="381">
        <f t="shared" si="3"/>
        <v>365.67653999999999</v>
      </c>
      <c r="E28" s="381">
        <f t="shared" si="3"/>
        <v>345.08439000000004</v>
      </c>
      <c r="F28" s="381">
        <f t="shared" si="3"/>
        <v>337.44709999999901</v>
      </c>
      <c r="G28" s="381">
        <f t="shared" si="3"/>
        <v>299.11020000000013</v>
      </c>
      <c r="H28" s="381">
        <f t="shared" si="3"/>
        <v>306.76370000000031</v>
      </c>
      <c r="I28" s="382">
        <f>+'[1]5.8 Decommissioned Sum '!$AH$25</f>
        <v>315.57279999999963</v>
      </c>
      <c r="J28" s="383">
        <v>349.94015000000127</v>
      </c>
      <c r="K28" s="384">
        <f t="shared" ref="K28:K34" si="4">SUM(C28:J28)</f>
        <v>2653</v>
      </c>
    </row>
    <row r="29" spans="1:13">
      <c r="A29" s="343" t="s">
        <v>97</v>
      </c>
      <c r="B29" s="385" t="s">
        <v>86</v>
      </c>
      <c r="C29" s="386">
        <f t="shared" si="3"/>
        <v>21.684699999999999</v>
      </c>
      <c r="D29" s="386">
        <f t="shared" si="3"/>
        <v>21.4574</v>
      </c>
      <c r="E29" s="386">
        <f t="shared" si="3"/>
        <v>20.864100000000001</v>
      </c>
      <c r="F29" s="386">
        <f t="shared" si="3"/>
        <v>30.875499999999999</v>
      </c>
      <c r="G29" s="386">
        <f t="shared" si="3"/>
        <v>30.055000000000003</v>
      </c>
      <c r="H29" s="386">
        <f t="shared" si="3"/>
        <v>24.971599999999992</v>
      </c>
      <c r="I29" s="387">
        <f>+'[1]5.8 Decommissioned Sum '!$AH$28</f>
        <v>47.950100000000013</v>
      </c>
      <c r="J29" s="388">
        <v>39.141599999999983</v>
      </c>
      <c r="K29" s="389">
        <f t="shared" si="4"/>
        <v>237</v>
      </c>
    </row>
    <row r="30" spans="1:13">
      <c r="A30" s="343" t="s">
        <v>98</v>
      </c>
      <c r="B30" s="385" t="s">
        <v>86</v>
      </c>
      <c r="C30" s="386">
        <f t="shared" si="3"/>
        <v>1.371</v>
      </c>
      <c r="D30" s="386">
        <f t="shared" si="3"/>
        <v>1.7409000000000001</v>
      </c>
      <c r="E30" s="386">
        <f t="shared" si="3"/>
        <v>0.77210000000000001</v>
      </c>
      <c r="F30" s="386">
        <f t="shared" si="3"/>
        <v>1.1013999999999999</v>
      </c>
      <c r="G30" s="386">
        <f t="shared" si="3"/>
        <v>0.98209999999999986</v>
      </c>
      <c r="H30" s="386">
        <f t="shared" si="3"/>
        <v>0.2616</v>
      </c>
      <c r="I30" s="387">
        <f>+'[1]5.8 Decommissioned Sum '!$AH$29</f>
        <v>0</v>
      </c>
      <c r="J30" s="388">
        <v>0.47090000000000032</v>
      </c>
      <c r="K30" s="389">
        <f t="shared" si="4"/>
        <v>6.7</v>
      </c>
    </row>
    <row r="31" spans="1:13">
      <c r="A31" s="343" t="s">
        <v>99</v>
      </c>
      <c r="B31" s="385" t="s">
        <v>86</v>
      </c>
      <c r="C31" s="386">
        <f t="shared" si="3"/>
        <v>64.840130000000002</v>
      </c>
      <c r="D31" s="386">
        <f t="shared" si="3"/>
        <v>66.752329999999972</v>
      </c>
      <c r="E31" s="386">
        <f t="shared" si="3"/>
        <v>100.33930000000005</v>
      </c>
      <c r="F31" s="386">
        <f t="shared" si="3"/>
        <v>84.644199999999969</v>
      </c>
      <c r="G31" s="386">
        <f t="shared" si="3"/>
        <v>69.894440000000003</v>
      </c>
      <c r="H31" s="386">
        <f t="shared" si="3"/>
        <v>62.012000000000015</v>
      </c>
      <c r="I31" s="387">
        <f>+'[1]5.8 Decommissioned Sum '!$AH$30</f>
        <v>59.402200000000072</v>
      </c>
      <c r="J31" s="388">
        <v>63.115400000000022</v>
      </c>
      <c r="K31" s="389">
        <f t="shared" si="4"/>
        <v>571</v>
      </c>
    </row>
    <row r="32" spans="1:13">
      <c r="A32" s="343" t="s">
        <v>100</v>
      </c>
      <c r="B32" s="385" t="s">
        <v>86</v>
      </c>
      <c r="C32" s="386">
        <f t="shared" si="3"/>
        <v>28.464999999999996</v>
      </c>
      <c r="D32" s="386">
        <f t="shared" si="3"/>
        <v>25.340430000000001</v>
      </c>
      <c r="E32" s="386">
        <f t="shared" si="3"/>
        <v>8.8669299999999982</v>
      </c>
      <c r="F32" s="386">
        <f t="shared" si="3"/>
        <v>17.124899999999993</v>
      </c>
      <c r="G32" s="386">
        <f t="shared" si="3"/>
        <v>17.6068</v>
      </c>
      <c r="H32" s="386">
        <f t="shared" si="3"/>
        <v>15.241929999999996</v>
      </c>
      <c r="I32" s="387">
        <f>+'[1]5.8 Decommissioned Sum '!$AH$31</f>
        <v>19.114999999999998</v>
      </c>
      <c r="J32" s="388">
        <v>18.739010000000007</v>
      </c>
      <c r="K32" s="389">
        <f t="shared" si="4"/>
        <v>150.5</v>
      </c>
    </row>
    <row r="33" spans="1:35" ht="13.5">
      <c r="A33" s="343" t="s">
        <v>101</v>
      </c>
      <c r="B33" s="349" t="s">
        <v>81</v>
      </c>
      <c r="C33" s="350">
        <f t="shared" si="3"/>
        <v>19750</v>
      </c>
      <c r="D33" s="350">
        <f t="shared" si="3"/>
        <v>20361</v>
      </c>
      <c r="E33" s="350">
        <f t="shared" si="3"/>
        <v>17308</v>
      </c>
      <c r="F33" s="350">
        <f t="shared" si="3"/>
        <v>17354</v>
      </c>
      <c r="G33" s="350">
        <f t="shared" si="3"/>
        <v>14043</v>
      </c>
      <c r="H33" s="350">
        <f t="shared" si="3"/>
        <v>12934</v>
      </c>
      <c r="I33" s="351">
        <f>+'[1]5.2a Repex iron mains Tier 1'!$K$31+'[1]5.2a Repex iron mains Tier 1'!$K$33+'[1]5.2b Repex iron mains Tier 2A'!$K$27+'[1]5.2b Repex iron mains Tier 2A'!$K$29+'[1]5.2c Repex other mains'!$K$82+'[1]5.2c Repex other mains'!$K$84+'[1]5.2d Repex diversions'!$I$38+'[1]5.2d Repex diversions'!$I$40+'[1]5.2d Repex diversions'!$I$42+'[1]5.2d Repex diversions'!$I$44</f>
        <v>13608</v>
      </c>
      <c r="J33" s="352">
        <v>13861</v>
      </c>
      <c r="K33" s="353">
        <f t="shared" si="4"/>
        <v>129219</v>
      </c>
    </row>
    <row r="34" spans="1:35" ht="13.5">
      <c r="A34" s="390" t="s">
        <v>102</v>
      </c>
      <c r="B34" s="354" t="s">
        <v>81</v>
      </c>
      <c r="C34" s="355">
        <f t="shared" si="3"/>
        <v>22851</v>
      </c>
      <c r="D34" s="355">
        <f t="shared" si="3"/>
        <v>23770</v>
      </c>
      <c r="E34" s="355">
        <f t="shared" si="3"/>
        <v>21642</v>
      </c>
      <c r="F34" s="355">
        <f t="shared" si="3"/>
        <v>23268</v>
      </c>
      <c r="G34" s="355">
        <f t="shared" si="3"/>
        <v>18083</v>
      </c>
      <c r="H34" s="355">
        <f t="shared" si="3"/>
        <v>17146</v>
      </c>
      <c r="I34" s="374">
        <f>+'[1]5.2a Repex iron mains Tier 1'!$K$30+'[1]5.2a Repex iron mains Tier 1'!$K$32+'[1]5.2b Repex iron mains Tier 2A'!$K$26+'[1]5.2b Repex iron mains Tier 2A'!$K$28+'[1]5.2c Repex other mains'!$K$81+'[1]5.2c Repex other mains'!$K$83+'[1]5.2d Repex diversions'!$I$37+'[1]5.2d Repex diversions'!$I$39+'[1]5.2d Repex diversions'!$I$41+'[1]5.3 Other repex services'!$F$17+'[1]5.3 Other repex services'!$J$17+'[1]5.2d Repex diversions'!$I$43</f>
        <v>16700</v>
      </c>
      <c r="J34" s="356">
        <v>16520</v>
      </c>
      <c r="K34" s="357">
        <f t="shared" si="4"/>
        <v>159980</v>
      </c>
    </row>
    <row r="35" spans="1:35">
      <c r="E35" s="5"/>
    </row>
    <row r="36" spans="1:35">
      <c r="A36" s="6" t="s">
        <v>103</v>
      </c>
      <c r="D36" s="6"/>
      <c r="M36" s="6" t="s">
        <v>48</v>
      </c>
      <c r="P36" s="6"/>
      <c r="Y36" s="6" t="s">
        <v>49</v>
      </c>
      <c r="AB36" s="6"/>
    </row>
    <row r="38" spans="1:35" ht="12.75" customHeight="1">
      <c r="A38" s="8"/>
      <c r="B38" s="317"/>
      <c r="C38" s="318" t="s">
        <v>2</v>
      </c>
      <c r="D38" s="319"/>
      <c r="E38" s="319"/>
      <c r="F38" s="319"/>
      <c r="G38" s="319"/>
      <c r="H38" s="320"/>
      <c r="I38" s="391" t="s">
        <v>104</v>
      </c>
      <c r="J38" s="392"/>
      <c r="K38" s="321" t="s">
        <v>5</v>
      </c>
      <c r="M38" s="8"/>
      <c r="N38" s="393"/>
      <c r="O38" s="318" t="s">
        <v>2</v>
      </c>
      <c r="P38" s="319"/>
      <c r="Q38" s="319"/>
      <c r="R38" s="319"/>
      <c r="S38" s="319"/>
      <c r="T38" s="320"/>
      <c r="U38" s="391" t="s">
        <v>4</v>
      </c>
      <c r="V38" s="394"/>
      <c r="W38" s="321" t="s">
        <v>5</v>
      </c>
      <c r="Y38" s="8"/>
      <c r="Z38" s="393"/>
      <c r="AA38" s="318" t="s">
        <v>2</v>
      </c>
      <c r="AB38" s="319"/>
      <c r="AC38" s="319"/>
      <c r="AD38" s="319"/>
      <c r="AE38" s="319"/>
      <c r="AF38" s="320"/>
      <c r="AG38" s="391" t="s">
        <v>4</v>
      </c>
      <c r="AH38" s="394"/>
      <c r="AI38" s="321" t="s">
        <v>5</v>
      </c>
    </row>
    <row r="39" spans="1:35">
      <c r="A39" s="14"/>
      <c r="B39" s="324"/>
      <c r="C39" s="325"/>
      <c r="D39" s="326"/>
      <c r="E39" s="326"/>
      <c r="F39" s="326"/>
      <c r="G39" s="326"/>
      <c r="H39" s="327"/>
      <c r="I39" s="395"/>
      <c r="J39" s="396"/>
      <c r="K39" s="397"/>
      <c r="M39" s="14"/>
      <c r="N39" s="398"/>
      <c r="O39" s="325"/>
      <c r="P39" s="326"/>
      <c r="Q39" s="326"/>
      <c r="R39" s="326"/>
      <c r="S39" s="326"/>
      <c r="T39" s="327"/>
      <c r="U39" s="395"/>
      <c r="V39" s="399"/>
      <c r="W39" s="397"/>
      <c r="Y39" s="14"/>
      <c r="Z39" s="398"/>
      <c r="AA39" s="325"/>
      <c r="AB39" s="326"/>
      <c r="AC39" s="326"/>
      <c r="AD39" s="326"/>
      <c r="AE39" s="326"/>
      <c r="AF39" s="327"/>
      <c r="AG39" s="395"/>
      <c r="AH39" s="399"/>
      <c r="AI39" s="397"/>
    </row>
    <row r="40" spans="1:35">
      <c r="A40" s="21" t="s">
        <v>78</v>
      </c>
      <c r="B40" s="400" t="s">
        <v>105</v>
      </c>
      <c r="C40" s="332">
        <v>2014</v>
      </c>
      <c r="D40" s="401">
        <v>2015</v>
      </c>
      <c r="E40" s="401">
        <v>2016</v>
      </c>
      <c r="F40" s="402">
        <v>2017</v>
      </c>
      <c r="G40" s="401">
        <v>2018</v>
      </c>
      <c r="H40" s="402">
        <v>2019</v>
      </c>
      <c r="I40" s="401">
        <v>2020</v>
      </c>
      <c r="J40" s="402">
        <v>2021</v>
      </c>
      <c r="K40" s="328"/>
      <c r="M40" s="21" t="s">
        <v>78</v>
      </c>
      <c r="N40" s="400" t="s">
        <v>105</v>
      </c>
      <c r="O40" s="332">
        <v>2014</v>
      </c>
      <c r="P40" s="401">
        <v>2015</v>
      </c>
      <c r="Q40" s="401">
        <v>2016</v>
      </c>
      <c r="R40" s="402">
        <v>2017</v>
      </c>
      <c r="S40" s="401">
        <v>2018</v>
      </c>
      <c r="T40" s="402">
        <v>2019</v>
      </c>
      <c r="U40" s="401">
        <v>2020</v>
      </c>
      <c r="V40" s="403">
        <v>2021</v>
      </c>
      <c r="W40" s="328"/>
      <c r="Y40" s="21" t="s">
        <v>78</v>
      </c>
      <c r="Z40" s="400" t="s">
        <v>105</v>
      </c>
      <c r="AA40" s="332">
        <v>2014</v>
      </c>
      <c r="AB40" s="401">
        <v>2015</v>
      </c>
      <c r="AC40" s="401">
        <v>2016</v>
      </c>
      <c r="AD40" s="402">
        <v>2017</v>
      </c>
      <c r="AE40" s="401">
        <v>2018</v>
      </c>
      <c r="AF40" s="402">
        <v>2019</v>
      </c>
      <c r="AG40" s="401">
        <v>2020</v>
      </c>
      <c r="AH40" s="403">
        <v>2021</v>
      </c>
      <c r="AI40" s="328"/>
    </row>
    <row r="41" spans="1:35">
      <c r="A41" s="335" t="s">
        <v>79</v>
      </c>
      <c r="B41" s="336"/>
      <c r="C41" s="404"/>
      <c r="D41" s="405"/>
      <c r="E41" s="405"/>
      <c r="F41" s="405"/>
      <c r="G41" s="405"/>
      <c r="H41" s="405"/>
      <c r="I41" s="405"/>
      <c r="J41" s="405"/>
      <c r="K41" s="342"/>
      <c r="M41" s="335" t="s">
        <v>79</v>
      </c>
      <c r="N41" s="336"/>
      <c r="O41" s="406"/>
      <c r="P41" s="407"/>
      <c r="Q41" s="406"/>
      <c r="R41" s="407"/>
      <c r="S41" s="407"/>
      <c r="T41" s="407"/>
      <c r="U41" s="407"/>
      <c r="V41" s="407"/>
      <c r="W41" s="408"/>
      <c r="Y41" s="335" t="s">
        <v>79</v>
      </c>
      <c r="Z41" s="336"/>
      <c r="AA41" s="405"/>
      <c r="AB41" s="405"/>
      <c r="AC41" s="405"/>
      <c r="AD41" s="405"/>
      <c r="AE41" s="405"/>
      <c r="AF41" s="405"/>
      <c r="AG41" s="405"/>
      <c r="AH41" s="405"/>
      <c r="AI41" s="342"/>
    </row>
    <row r="42" spans="1:35" ht="13.5">
      <c r="A42" s="343" t="s">
        <v>80</v>
      </c>
      <c r="B42" s="409" t="s">
        <v>81</v>
      </c>
      <c r="C42" s="410">
        <v>5636</v>
      </c>
      <c r="D42" s="410">
        <v>6424</v>
      </c>
      <c r="E42" s="410">
        <v>5569</v>
      </c>
      <c r="F42" s="410">
        <v>6421</v>
      </c>
      <c r="G42" s="410">
        <v>6052</v>
      </c>
      <c r="H42" s="410">
        <v>4889</v>
      </c>
      <c r="I42" s="410">
        <v>6040.4396386113249</v>
      </c>
      <c r="J42" s="410">
        <v>6072.9116816219539</v>
      </c>
      <c r="K42" s="379">
        <f>SUM(C42:J42)</f>
        <v>47104.351320233276</v>
      </c>
      <c r="M42" s="343" t="s">
        <v>80</v>
      </c>
      <c r="N42" s="409" t="s">
        <v>81</v>
      </c>
      <c r="O42" s="411">
        <f>C13-C42</f>
        <v>0</v>
      </c>
      <c r="P42" s="412">
        <f>D13-D42</f>
        <v>0</v>
      </c>
      <c r="Q42" s="411">
        <f>E13-E42</f>
        <v>0</v>
      </c>
      <c r="R42" s="412">
        <f t="shared" ref="R42:W42" si="5">F13-F42</f>
        <v>0</v>
      </c>
      <c r="S42" s="412">
        <f t="shared" si="5"/>
        <v>0</v>
      </c>
      <c r="T42" s="412">
        <f t="shared" si="5"/>
        <v>0</v>
      </c>
      <c r="U42" s="412">
        <f t="shared" si="5"/>
        <v>-1279.4396386113249</v>
      </c>
      <c r="V42" s="412">
        <f t="shared" si="5"/>
        <v>0</v>
      </c>
      <c r="W42" s="411">
        <f t="shared" si="5"/>
        <v>-1279.4396386113222</v>
      </c>
      <c r="Y42" s="343" t="s">
        <v>80</v>
      </c>
      <c r="Z42" s="409" t="s">
        <v>81</v>
      </c>
      <c r="AA42" s="413">
        <f>(C13-C42)/C42</f>
        <v>0</v>
      </c>
      <c r="AB42" s="413">
        <f>(D13-D42)/D42</f>
        <v>0</v>
      </c>
      <c r="AC42" s="413">
        <f>(E13-E42)/E42</f>
        <v>0</v>
      </c>
      <c r="AD42" s="413">
        <f t="shared" ref="AD42:AI42" si="6">(F13-F42)/F42</f>
        <v>0</v>
      </c>
      <c r="AE42" s="413">
        <f t="shared" si="6"/>
        <v>0</v>
      </c>
      <c r="AF42" s="413">
        <f t="shared" si="6"/>
        <v>0</v>
      </c>
      <c r="AG42" s="413">
        <f t="shared" si="6"/>
        <v>-0.21181233737242733</v>
      </c>
      <c r="AH42" s="413">
        <f t="shared" si="6"/>
        <v>0</v>
      </c>
      <c r="AI42" s="414">
        <f t="shared" si="6"/>
        <v>-2.7161814200841138E-2</v>
      </c>
    </row>
    <row r="43" spans="1:35" ht="13.5">
      <c r="A43" s="343" t="s">
        <v>82</v>
      </c>
      <c r="B43" s="409" t="s">
        <v>81</v>
      </c>
      <c r="C43" s="410">
        <v>6317</v>
      </c>
      <c r="D43" s="410">
        <v>5417</v>
      </c>
      <c r="E43" s="410">
        <v>5943</v>
      </c>
      <c r="F43" s="410">
        <v>5621</v>
      </c>
      <c r="G43" s="410">
        <v>5249</v>
      </c>
      <c r="H43" s="410">
        <v>5929</v>
      </c>
      <c r="I43" s="410">
        <v>6284.1688231107046</v>
      </c>
      <c r="J43" s="410">
        <v>6245.1597440527376</v>
      </c>
      <c r="K43" s="379">
        <f>SUM(C43:J43)</f>
        <v>47005.328567163444</v>
      </c>
      <c r="M43" s="343" t="s">
        <v>82</v>
      </c>
      <c r="N43" s="409" t="s">
        <v>81</v>
      </c>
      <c r="O43" s="411">
        <f>C14-C43</f>
        <v>0</v>
      </c>
      <c r="P43" s="412">
        <f>D14-D43</f>
        <v>0</v>
      </c>
      <c r="Q43" s="411">
        <f t="shared" ref="Q43:W44" si="7">E14-E43</f>
        <v>0</v>
      </c>
      <c r="R43" s="412">
        <f t="shared" si="7"/>
        <v>0</v>
      </c>
      <c r="S43" s="412">
        <f t="shared" si="7"/>
        <v>0</v>
      </c>
      <c r="T43" s="412">
        <f t="shared" si="7"/>
        <v>0</v>
      </c>
      <c r="U43" s="412">
        <f t="shared" si="7"/>
        <v>-512.16882311070458</v>
      </c>
      <c r="V43" s="412">
        <f t="shared" si="7"/>
        <v>0</v>
      </c>
      <c r="W43" s="411">
        <f t="shared" si="7"/>
        <v>-512.16882311070367</v>
      </c>
      <c r="Y43" s="343" t="s">
        <v>82</v>
      </c>
      <c r="Z43" s="409" t="s">
        <v>81</v>
      </c>
      <c r="AA43" s="413">
        <f>(C14-C43)/C43</f>
        <v>0</v>
      </c>
      <c r="AB43" s="413">
        <f>(D14-D43)/D43</f>
        <v>0</v>
      </c>
      <c r="AC43" s="413">
        <f t="shared" ref="AC43:AI44" si="8">(E14-E43)/E43</f>
        <v>0</v>
      </c>
      <c r="AD43" s="413">
        <f t="shared" si="8"/>
        <v>0</v>
      </c>
      <c r="AE43" s="413">
        <f t="shared" si="8"/>
        <v>0</v>
      </c>
      <c r="AF43" s="413">
        <f t="shared" si="8"/>
        <v>0</v>
      </c>
      <c r="AG43" s="413">
        <f t="shared" si="8"/>
        <v>-8.1501442358955858E-2</v>
      </c>
      <c r="AH43" s="413">
        <f t="shared" si="8"/>
        <v>0</v>
      </c>
      <c r="AI43" s="414">
        <f t="shared" si="8"/>
        <v>-1.0895973684747094E-2</v>
      </c>
    </row>
    <row r="44" spans="1:35" ht="13.5">
      <c r="A44" s="343" t="s">
        <v>83</v>
      </c>
      <c r="B44" s="409" t="s">
        <v>81</v>
      </c>
      <c r="C44" s="410">
        <v>2</v>
      </c>
      <c r="D44" s="410">
        <v>7</v>
      </c>
      <c r="E44" s="410">
        <v>1</v>
      </c>
      <c r="F44" s="410">
        <v>0</v>
      </c>
      <c r="G44" s="410">
        <v>0</v>
      </c>
      <c r="H44" s="410">
        <v>0</v>
      </c>
      <c r="I44" s="410">
        <v>0</v>
      </c>
      <c r="J44" s="410">
        <v>0</v>
      </c>
      <c r="K44" s="379">
        <f>SUM(C44:J44)</f>
        <v>10</v>
      </c>
      <c r="M44" s="343" t="s">
        <v>83</v>
      </c>
      <c r="N44" s="409" t="s">
        <v>81</v>
      </c>
      <c r="O44" s="411">
        <f>C15-C44</f>
        <v>0</v>
      </c>
      <c r="P44" s="412">
        <f>D15-D44</f>
        <v>0</v>
      </c>
      <c r="Q44" s="411">
        <f t="shared" si="7"/>
        <v>0</v>
      </c>
      <c r="R44" s="412">
        <f t="shared" si="7"/>
        <v>0</v>
      </c>
      <c r="S44" s="412">
        <f t="shared" si="7"/>
        <v>0</v>
      </c>
      <c r="T44" s="412">
        <f t="shared" si="7"/>
        <v>0</v>
      </c>
      <c r="U44" s="412">
        <f t="shared" si="7"/>
        <v>2</v>
      </c>
      <c r="V44" s="412">
        <f t="shared" si="7"/>
        <v>0</v>
      </c>
      <c r="W44" s="411">
        <f t="shared" si="7"/>
        <v>2</v>
      </c>
      <c r="Y44" s="343" t="s">
        <v>83</v>
      </c>
      <c r="Z44" s="409" t="s">
        <v>81</v>
      </c>
      <c r="AA44" s="413">
        <f>(C15-C44)/C44</f>
        <v>0</v>
      </c>
      <c r="AB44" s="413">
        <f>(D15-D44)/D44</f>
        <v>0</v>
      </c>
      <c r="AC44" s="413">
        <f t="shared" si="8"/>
        <v>0</v>
      </c>
      <c r="AD44" s="413" t="e">
        <f t="shared" si="8"/>
        <v>#DIV/0!</v>
      </c>
      <c r="AE44" s="413" t="e">
        <f t="shared" si="8"/>
        <v>#DIV/0!</v>
      </c>
      <c r="AF44" s="413" t="e">
        <f t="shared" si="8"/>
        <v>#DIV/0!</v>
      </c>
      <c r="AG44" s="413" t="e">
        <f t="shared" si="8"/>
        <v>#DIV/0!</v>
      </c>
      <c r="AH44" s="413" t="e">
        <f t="shared" si="8"/>
        <v>#DIV/0!</v>
      </c>
      <c r="AI44" s="414">
        <f t="shared" si="8"/>
        <v>0.2</v>
      </c>
    </row>
    <row r="45" spans="1:35">
      <c r="A45" s="358"/>
      <c r="B45" s="359"/>
      <c r="C45" s="359"/>
      <c r="D45" s="359"/>
      <c r="E45" s="359"/>
      <c r="F45" s="359"/>
      <c r="G45" s="359"/>
      <c r="H45" s="359"/>
      <c r="I45" s="359"/>
      <c r="J45" s="359"/>
      <c r="K45" s="415"/>
      <c r="M45" s="358"/>
      <c r="N45" s="359"/>
      <c r="O45" s="416"/>
      <c r="P45" s="417"/>
      <c r="Q45" s="416"/>
      <c r="R45" s="417"/>
      <c r="S45" s="417"/>
      <c r="T45" s="417"/>
      <c r="U45" s="417"/>
      <c r="V45" s="417"/>
      <c r="W45" s="416"/>
      <c r="Y45" s="358"/>
      <c r="Z45" s="359"/>
      <c r="AA45" s="418"/>
      <c r="AB45" s="418"/>
      <c r="AC45" s="418"/>
      <c r="AD45" s="418"/>
      <c r="AE45" s="418"/>
      <c r="AF45" s="418"/>
      <c r="AG45" s="418"/>
      <c r="AH45" s="418"/>
      <c r="AI45" s="419"/>
    </row>
    <row r="46" spans="1:35">
      <c r="A46" s="363" t="s">
        <v>84</v>
      </c>
      <c r="B46" s="364"/>
      <c r="C46" s="364"/>
      <c r="D46" s="364"/>
      <c r="E46" s="364"/>
      <c r="F46" s="364"/>
      <c r="G46" s="364"/>
      <c r="H46" s="364"/>
      <c r="I46" s="364"/>
      <c r="J46" s="364"/>
      <c r="K46" s="420"/>
      <c r="M46" s="363" t="s">
        <v>84</v>
      </c>
      <c r="N46" s="364"/>
      <c r="O46" s="421"/>
      <c r="P46" s="422"/>
      <c r="Q46" s="421"/>
      <c r="R46" s="422"/>
      <c r="S46" s="422"/>
      <c r="T46" s="422"/>
      <c r="U46" s="422"/>
      <c r="V46" s="422"/>
      <c r="W46" s="421"/>
      <c r="Y46" s="363" t="s">
        <v>84</v>
      </c>
      <c r="Z46" s="364"/>
      <c r="AA46" s="423"/>
      <c r="AB46" s="423"/>
      <c r="AC46" s="423"/>
      <c r="AD46" s="423"/>
      <c r="AE46" s="423"/>
      <c r="AF46" s="423"/>
      <c r="AG46" s="423"/>
      <c r="AH46" s="423"/>
      <c r="AI46" s="424"/>
    </row>
    <row r="47" spans="1:35">
      <c r="A47" s="343" t="s">
        <v>85</v>
      </c>
      <c r="B47" s="425" t="s">
        <v>86</v>
      </c>
      <c r="C47" s="426">
        <v>11.31808</v>
      </c>
      <c r="D47" s="426">
        <v>13.440419999999998</v>
      </c>
      <c r="E47" s="426">
        <v>9.82315</v>
      </c>
      <c r="F47" s="426">
        <v>12.604220000000002</v>
      </c>
      <c r="G47" s="426">
        <v>17.505200000000002</v>
      </c>
      <c r="H47" s="426">
        <v>22.7956</v>
      </c>
      <c r="I47" s="426">
        <v>25.639392626818719</v>
      </c>
      <c r="J47" s="426">
        <v>24.499999999999996</v>
      </c>
      <c r="K47" s="427">
        <f t="shared" ref="K47:K54" si="9">SUM(C47:J47)</f>
        <v>137.62606262681871</v>
      </c>
      <c r="M47" s="343" t="s">
        <v>85</v>
      </c>
      <c r="N47" s="425" t="s">
        <v>86</v>
      </c>
      <c r="O47" s="428">
        <f t="shared" ref="O47:W54" si="10">C18-C47</f>
        <v>0</v>
      </c>
      <c r="P47" s="429">
        <f t="shared" si="10"/>
        <v>0</v>
      </c>
      <c r="Q47" s="428">
        <f t="shared" si="10"/>
        <v>0</v>
      </c>
      <c r="R47" s="429">
        <f t="shared" si="10"/>
        <v>0</v>
      </c>
      <c r="S47" s="429">
        <f t="shared" si="10"/>
        <v>0</v>
      </c>
      <c r="T47" s="429">
        <f t="shared" si="10"/>
        <v>0</v>
      </c>
      <c r="U47" s="429">
        <f t="shared" si="10"/>
        <v>-6.7531926268187199</v>
      </c>
      <c r="V47" s="429">
        <f t="shared" si="10"/>
        <v>0.35045666666666619</v>
      </c>
      <c r="W47" s="430">
        <f t="shared" si="10"/>
        <v>-6.4027359601520288</v>
      </c>
      <c r="Y47" s="343" t="s">
        <v>85</v>
      </c>
      <c r="Z47" s="425" t="s">
        <v>86</v>
      </c>
      <c r="AA47" s="431">
        <f t="shared" ref="AA47:AI54" si="11">(C18-C47)/C47</f>
        <v>0</v>
      </c>
      <c r="AB47" s="431">
        <f t="shared" si="11"/>
        <v>0</v>
      </c>
      <c r="AC47" s="431">
        <f t="shared" si="11"/>
        <v>0</v>
      </c>
      <c r="AD47" s="431">
        <f t="shared" si="11"/>
        <v>0</v>
      </c>
      <c r="AE47" s="431">
        <f t="shared" si="11"/>
        <v>0</v>
      </c>
      <c r="AF47" s="431">
        <f t="shared" si="11"/>
        <v>0</v>
      </c>
      <c r="AG47" s="431">
        <f t="shared" si="11"/>
        <v>-0.26339128719277471</v>
      </c>
      <c r="AH47" s="431">
        <f t="shared" si="11"/>
        <v>1.4304353741496582E-2</v>
      </c>
      <c r="AI47" s="432">
        <f t="shared" si="11"/>
        <v>-4.6522699537757103E-2</v>
      </c>
    </row>
    <row r="48" spans="1:35" ht="13.5">
      <c r="A48" s="343" t="s">
        <v>87</v>
      </c>
      <c r="B48" s="409" t="s">
        <v>81</v>
      </c>
      <c r="C48" s="377">
        <v>0</v>
      </c>
      <c r="D48" s="377">
        <v>0</v>
      </c>
      <c r="E48" s="377">
        <v>4</v>
      </c>
      <c r="F48" s="377">
        <v>0</v>
      </c>
      <c r="G48" s="377">
        <v>1</v>
      </c>
      <c r="H48" s="377">
        <v>1</v>
      </c>
      <c r="I48" s="377">
        <v>3</v>
      </c>
      <c r="J48" s="377">
        <v>3</v>
      </c>
      <c r="K48" s="427">
        <f t="shared" si="9"/>
        <v>12</v>
      </c>
      <c r="M48" s="343" t="s">
        <v>87</v>
      </c>
      <c r="N48" s="409" t="s">
        <v>81</v>
      </c>
      <c r="O48" s="411">
        <f t="shared" si="10"/>
        <v>0</v>
      </c>
      <c r="P48" s="412">
        <f t="shared" si="10"/>
        <v>0</v>
      </c>
      <c r="Q48" s="411">
        <f t="shared" si="10"/>
        <v>0</v>
      </c>
      <c r="R48" s="412">
        <f t="shared" si="10"/>
        <v>0</v>
      </c>
      <c r="S48" s="412">
        <f t="shared" si="10"/>
        <v>0</v>
      </c>
      <c r="T48" s="412">
        <f t="shared" si="10"/>
        <v>0</v>
      </c>
      <c r="U48" s="412">
        <f t="shared" si="10"/>
        <v>-2</v>
      </c>
      <c r="V48" s="412">
        <f t="shared" si="10"/>
        <v>-1</v>
      </c>
      <c r="W48" s="430">
        <f t="shared" si="10"/>
        <v>-3</v>
      </c>
      <c r="Y48" s="343" t="s">
        <v>87</v>
      </c>
      <c r="Z48" s="409" t="s">
        <v>81</v>
      </c>
      <c r="AA48" s="413" t="e">
        <f t="shared" si="11"/>
        <v>#DIV/0!</v>
      </c>
      <c r="AB48" s="413" t="e">
        <f t="shared" si="11"/>
        <v>#DIV/0!</v>
      </c>
      <c r="AC48" s="413">
        <f t="shared" si="11"/>
        <v>0</v>
      </c>
      <c r="AD48" s="413" t="e">
        <f t="shared" si="11"/>
        <v>#DIV/0!</v>
      </c>
      <c r="AE48" s="413">
        <f t="shared" si="11"/>
        <v>0</v>
      </c>
      <c r="AF48" s="413">
        <f t="shared" si="11"/>
        <v>0</v>
      </c>
      <c r="AG48" s="413">
        <f t="shared" si="11"/>
        <v>-0.66666666666666663</v>
      </c>
      <c r="AH48" s="413">
        <f t="shared" si="11"/>
        <v>-0.33333333333333331</v>
      </c>
      <c r="AI48" s="432">
        <f t="shared" si="11"/>
        <v>-0.25</v>
      </c>
    </row>
    <row r="49" spans="1:35" ht="13.9" thickBot="1">
      <c r="A49" s="343" t="s">
        <v>88</v>
      </c>
      <c r="B49" s="376" t="s">
        <v>81</v>
      </c>
      <c r="C49" s="433">
        <v>11498</v>
      </c>
      <c r="D49" s="433">
        <v>11294</v>
      </c>
      <c r="E49" s="433">
        <v>11640</v>
      </c>
      <c r="F49" s="433">
        <v>11933</v>
      </c>
      <c r="G49" s="433">
        <v>11074</v>
      </c>
      <c r="H49" s="433">
        <v>10857</v>
      </c>
      <c r="I49" s="433">
        <v>11248.670767829921</v>
      </c>
      <c r="J49" s="433">
        <v>10957</v>
      </c>
      <c r="K49" s="434">
        <f t="shared" si="9"/>
        <v>90501.670767829928</v>
      </c>
      <c r="M49" s="343" t="s">
        <v>88</v>
      </c>
      <c r="N49" s="376" t="s">
        <v>81</v>
      </c>
      <c r="O49" s="435">
        <f t="shared" si="10"/>
        <v>0</v>
      </c>
      <c r="P49" s="436">
        <f t="shared" si="10"/>
        <v>0</v>
      </c>
      <c r="Q49" s="435">
        <f t="shared" si="10"/>
        <v>0</v>
      </c>
      <c r="R49" s="436">
        <f t="shared" si="10"/>
        <v>0</v>
      </c>
      <c r="S49" s="436">
        <f t="shared" si="10"/>
        <v>0</v>
      </c>
      <c r="T49" s="436">
        <f t="shared" si="10"/>
        <v>0</v>
      </c>
      <c r="U49" s="436">
        <f t="shared" si="10"/>
        <v>-1021.6707678299208</v>
      </c>
      <c r="V49" s="436">
        <f t="shared" si="10"/>
        <v>413</v>
      </c>
      <c r="W49" s="435">
        <f t="shared" si="10"/>
        <v>-608.67076782992808</v>
      </c>
      <c r="Y49" s="343" t="s">
        <v>88</v>
      </c>
      <c r="Z49" s="376" t="s">
        <v>81</v>
      </c>
      <c r="AA49" s="437">
        <f t="shared" si="11"/>
        <v>0</v>
      </c>
      <c r="AB49" s="437">
        <f t="shared" si="11"/>
        <v>0</v>
      </c>
      <c r="AC49" s="437">
        <f t="shared" si="11"/>
        <v>0</v>
      </c>
      <c r="AD49" s="437">
        <f t="shared" si="11"/>
        <v>0</v>
      </c>
      <c r="AE49" s="437">
        <f t="shared" si="11"/>
        <v>0</v>
      </c>
      <c r="AF49" s="437">
        <f t="shared" si="11"/>
        <v>0</v>
      </c>
      <c r="AG49" s="437">
        <f t="shared" si="11"/>
        <v>-9.082591080466125E-2</v>
      </c>
      <c r="AH49" s="437">
        <f t="shared" si="11"/>
        <v>3.7692799123847771E-2</v>
      </c>
      <c r="AI49" s="438">
        <f t="shared" si="11"/>
        <v>-6.7255196800884752E-3</v>
      </c>
    </row>
    <row r="50" spans="1:35" ht="13.9" thickTop="1">
      <c r="A50" s="343" t="s">
        <v>89</v>
      </c>
      <c r="B50" s="439" t="s">
        <v>81</v>
      </c>
      <c r="C50" s="355">
        <v>2898</v>
      </c>
      <c r="D50" s="355">
        <v>3595</v>
      </c>
      <c r="E50" s="355">
        <v>3878</v>
      </c>
      <c r="F50" s="355">
        <v>4463</v>
      </c>
      <c r="G50" s="355">
        <v>4370</v>
      </c>
      <c r="H50" s="355">
        <v>4097</v>
      </c>
      <c r="I50" s="355">
        <v>4133.7447678299231</v>
      </c>
      <c r="J50" s="355">
        <v>3843</v>
      </c>
      <c r="K50" s="357">
        <f t="shared" si="9"/>
        <v>31277.744767829921</v>
      </c>
      <c r="M50" s="343" t="s">
        <v>89</v>
      </c>
      <c r="N50" s="439" t="s">
        <v>81</v>
      </c>
      <c r="O50" s="440">
        <f t="shared" si="10"/>
        <v>0</v>
      </c>
      <c r="P50" s="441">
        <f t="shared" si="10"/>
        <v>0</v>
      </c>
      <c r="Q50" s="440">
        <f t="shared" si="10"/>
        <v>0</v>
      </c>
      <c r="R50" s="441">
        <f t="shared" si="10"/>
        <v>0</v>
      </c>
      <c r="S50" s="441">
        <f t="shared" si="10"/>
        <v>0</v>
      </c>
      <c r="T50" s="441">
        <f t="shared" si="10"/>
        <v>0</v>
      </c>
      <c r="U50" s="441">
        <f t="shared" si="10"/>
        <v>-24.744767829923148</v>
      </c>
      <c r="V50" s="441">
        <f t="shared" si="10"/>
        <v>0</v>
      </c>
      <c r="W50" s="440">
        <f t="shared" si="10"/>
        <v>-24.744767829921329</v>
      </c>
      <c r="Y50" s="343" t="s">
        <v>89</v>
      </c>
      <c r="Z50" s="439" t="s">
        <v>81</v>
      </c>
      <c r="AA50" s="442">
        <f t="shared" si="11"/>
        <v>0</v>
      </c>
      <c r="AB50" s="442">
        <f t="shared" si="11"/>
        <v>0</v>
      </c>
      <c r="AC50" s="442">
        <f t="shared" si="11"/>
        <v>0</v>
      </c>
      <c r="AD50" s="442">
        <f t="shared" si="11"/>
        <v>0</v>
      </c>
      <c r="AE50" s="442">
        <f t="shared" si="11"/>
        <v>0</v>
      </c>
      <c r="AF50" s="442">
        <f t="shared" si="11"/>
        <v>0</v>
      </c>
      <c r="AG50" s="442">
        <f t="shared" si="11"/>
        <v>-5.986041524018262E-3</v>
      </c>
      <c r="AH50" s="442">
        <f t="shared" si="11"/>
        <v>0</v>
      </c>
      <c r="AI50" s="443">
        <f t="shared" si="11"/>
        <v>-7.9113017941664541E-4</v>
      </c>
    </row>
    <row r="51" spans="1:35" ht="13.5">
      <c r="A51" s="343" t="s">
        <v>90</v>
      </c>
      <c r="B51" s="409" t="s">
        <v>81</v>
      </c>
      <c r="C51" s="410">
        <v>5381</v>
      </c>
      <c r="D51" s="410">
        <v>5508</v>
      </c>
      <c r="E51" s="410">
        <v>5563</v>
      </c>
      <c r="F51" s="410">
        <v>5235</v>
      </c>
      <c r="G51" s="410">
        <v>4998</v>
      </c>
      <c r="H51" s="410">
        <v>5086</v>
      </c>
      <c r="I51" s="410">
        <v>4998.2259999999987</v>
      </c>
      <c r="J51" s="410">
        <v>5012</v>
      </c>
      <c r="K51" s="379">
        <f t="shared" si="9"/>
        <v>41781.225999999995</v>
      </c>
      <c r="M51" s="343" t="s">
        <v>90</v>
      </c>
      <c r="N51" s="409" t="s">
        <v>81</v>
      </c>
      <c r="O51" s="411">
        <f t="shared" si="10"/>
        <v>0</v>
      </c>
      <c r="P51" s="412">
        <f t="shared" si="10"/>
        <v>0</v>
      </c>
      <c r="Q51" s="411">
        <f t="shared" si="10"/>
        <v>0</v>
      </c>
      <c r="R51" s="412">
        <f t="shared" si="10"/>
        <v>0</v>
      </c>
      <c r="S51" s="412">
        <f t="shared" si="10"/>
        <v>0</v>
      </c>
      <c r="T51" s="412">
        <f t="shared" si="10"/>
        <v>0</v>
      </c>
      <c r="U51" s="412">
        <f t="shared" si="10"/>
        <v>-537.22599999999875</v>
      </c>
      <c r="V51" s="412">
        <f t="shared" si="10"/>
        <v>0</v>
      </c>
      <c r="W51" s="411">
        <f t="shared" si="10"/>
        <v>-537.22599999999511</v>
      </c>
      <c r="Y51" s="343" t="s">
        <v>90</v>
      </c>
      <c r="Z51" s="409" t="s">
        <v>81</v>
      </c>
      <c r="AA51" s="413">
        <f t="shared" si="11"/>
        <v>0</v>
      </c>
      <c r="AB51" s="413">
        <f t="shared" si="11"/>
        <v>0</v>
      </c>
      <c r="AC51" s="413">
        <f t="shared" si="11"/>
        <v>0</v>
      </c>
      <c r="AD51" s="413">
        <f t="shared" si="11"/>
        <v>0</v>
      </c>
      <c r="AE51" s="413">
        <f t="shared" si="11"/>
        <v>0</v>
      </c>
      <c r="AF51" s="413">
        <f t="shared" si="11"/>
        <v>0</v>
      </c>
      <c r="AG51" s="413">
        <f t="shared" si="11"/>
        <v>-0.10748333508728874</v>
      </c>
      <c r="AH51" s="413">
        <f t="shared" si="11"/>
        <v>0</v>
      </c>
      <c r="AI51" s="414">
        <f t="shared" si="11"/>
        <v>-1.2858071709049302E-2</v>
      </c>
    </row>
    <row r="52" spans="1:35" ht="13.5">
      <c r="A52" s="343" t="s">
        <v>91</v>
      </c>
      <c r="B52" s="409" t="s">
        <v>81</v>
      </c>
      <c r="C52" s="410">
        <v>587</v>
      </c>
      <c r="D52" s="410">
        <v>530</v>
      </c>
      <c r="E52" s="410">
        <v>640</v>
      </c>
      <c r="F52" s="410">
        <v>639</v>
      </c>
      <c r="G52" s="410">
        <v>655</v>
      </c>
      <c r="H52" s="410">
        <v>591</v>
      </c>
      <c r="I52" s="410">
        <v>612.69999999999993</v>
      </c>
      <c r="J52" s="410">
        <v>598</v>
      </c>
      <c r="K52" s="379">
        <f t="shared" si="9"/>
        <v>4852.7</v>
      </c>
      <c r="M52" s="343" t="s">
        <v>91</v>
      </c>
      <c r="N52" s="409" t="s">
        <v>81</v>
      </c>
      <c r="O52" s="411">
        <f t="shared" si="10"/>
        <v>0</v>
      </c>
      <c r="P52" s="412">
        <f t="shared" si="10"/>
        <v>0</v>
      </c>
      <c r="Q52" s="411">
        <f t="shared" si="10"/>
        <v>0</v>
      </c>
      <c r="R52" s="412">
        <f t="shared" si="10"/>
        <v>0</v>
      </c>
      <c r="S52" s="412">
        <f t="shared" si="10"/>
        <v>0</v>
      </c>
      <c r="T52" s="412">
        <f t="shared" si="10"/>
        <v>0</v>
      </c>
      <c r="U52" s="412">
        <f t="shared" si="10"/>
        <v>-46.699999999999932</v>
      </c>
      <c r="V52" s="412">
        <f t="shared" si="10"/>
        <v>0</v>
      </c>
      <c r="W52" s="411">
        <f t="shared" si="10"/>
        <v>-46.699999999999818</v>
      </c>
      <c r="Y52" s="343" t="s">
        <v>91</v>
      </c>
      <c r="Z52" s="409" t="s">
        <v>81</v>
      </c>
      <c r="AA52" s="413">
        <f t="shared" si="11"/>
        <v>0</v>
      </c>
      <c r="AB52" s="413">
        <f t="shared" si="11"/>
        <v>0</v>
      </c>
      <c r="AC52" s="413">
        <f t="shared" si="11"/>
        <v>0</v>
      </c>
      <c r="AD52" s="413">
        <f t="shared" si="11"/>
        <v>0</v>
      </c>
      <c r="AE52" s="413">
        <f t="shared" si="11"/>
        <v>0</v>
      </c>
      <c r="AF52" s="413">
        <f t="shared" si="11"/>
        <v>0</v>
      </c>
      <c r="AG52" s="413">
        <f t="shared" si="11"/>
        <v>-7.6220009792720644E-2</v>
      </c>
      <c r="AH52" s="413">
        <f t="shared" si="11"/>
        <v>0</v>
      </c>
      <c r="AI52" s="414">
        <f t="shared" si="11"/>
        <v>-9.6235085622436625E-3</v>
      </c>
    </row>
    <row r="53" spans="1:35" ht="13.5">
      <c r="A53" s="343" t="s">
        <v>92</v>
      </c>
      <c r="B53" s="409" t="s">
        <v>81</v>
      </c>
      <c r="C53" s="410">
        <v>2632</v>
      </c>
      <c r="D53" s="410">
        <v>1661</v>
      </c>
      <c r="E53" s="410">
        <v>1559</v>
      </c>
      <c r="F53" s="410">
        <v>1596</v>
      </c>
      <c r="G53" s="410">
        <v>1051</v>
      </c>
      <c r="H53" s="410">
        <v>1083</v>
      </c>
      <c r="I53" s="410">
        <v>1503.9999999999991</v>
      </c>
      <c r="J53" s="410">
        <v>1503.9999999999991</v>
      </c>
      <c r="K53" s="379">
        <f t="shared" si="9"/>
        <v>12590</v>
      </c>
      <c r="M53" s="343" t="s">
        <v>92</v>
      </c>
      <c r="N53" s="409" t="s">
        <v>81</v>
      </c>
      <c r="O53" s="411">
        <f t="shared" si="10"/>
        <v>0</v>
      </c>
      <c r="P53" s="412">
        <f t="shared" si="10"/>
        <v>0</v>
      </c>
      <c r="Q53" s="411">
        <f t="shared" si="10"/>
        <v>0</v>
      </c>
      <c r="R53" s="412">
        <f t="shared" si="10"/>
        <v>0</v>
      </c>
      <c r="S53" s="412">
        <f t="shared" si="10"/>
        <v>0</v>
      </c>
      <c r="T53" s="412">
        <f t="shared" si="10"/>
        <v>0</v>
      </c>
      <c r="U53" s="412">
        <f t="shared" si="10"/>
        <v>-412.99999999999909</v>
      </c>
      <c r="V53" s="412">
        <f t="shared" si="10"/>
        <v>413.00000000000091</v>
      </c>
      <c r="W53" s="411">
        <f t="shared" si="10"/>
        <v>0</v>
      </c>
      <c r="Y53" s="343" t="s">
        <v>92</v>
      </c>
      <c r="Z53" s="409" t="s">
        <v>81</v>
      </c>
      <c r="AA53" s="413">
        <f t="shared" si="11"/>
        <v>0</v>
      </c>
      <c r="AB53" s="413">
        <f t="shared" si="11"/>
        <v>0</v>
      </c>
      <c r="AC53" s="413">
        <f t="shared" si="11"/>
        <v>0</v>
      </c>
      <c r="AD53" s="413">
        <f t="shared" si="11"/>
        <v>0</v>
      </c>
      <c r="AE53" s="413">
        <f t="shared" si="11"/>
        <v>0</v>
      </c>
      <c r="AF53" s="413">
        <f t="shared" si="11"/>
        <v>0</v>
      </c>
      <c r="AG53" s="413">
        <f t="shared" si="11"/>
        <v>-0.27460106382978677</v>
      </c>
      <c r="AH53" s="413">
        <f t="shared" si="11"/>
        <v>0.27460106382978799</v>
      </c>
      <c r="AI53" s="414">
        <f t="shared" si="11"/>
        <v>0</v>
      </c>
    </row>
    <row r="54" spans="1:35" ht="13.5">
      <c r="A54" s="343" t="s">
        <v>93</v>
      </c>
      <c r="B54" s="409" t="s">
        <v>94</v>
      </c>
      <c r="C54" s="377">
        <v>94</v>
      </c>
      <c r="D54" s="377">
        <v>90</v>
      </c>
      <c r="E54" s="377">
        <v>35</v>
      </c>
      <c r="F54" s="377">
        <v>24</v>
      </c>
      <c r="G54" s="377">
        <v>16</v>
      </c>
      <c r="H54" s="377">
        <v>14</v>
      </c>
      <c r="I54" s="377">
        <v>12</v>
      </c>
      <c r="J54" s="377">
        <v>12</v>
      </c>
      <c r="K54" s="379">
        <f t="shared" si="9"/>
        <v>297</v>
      </c>
      <c r="M54" s="343" t="s">
        <v>93</v>
      </c>
      <c r="N54" s="409" t="s">
        <v>94</v>
      </c>
      <c r="O54" s="411">
        <f t="shared" si="10"/>
        <v>0</v>
      </c>
      <c r="P54" s="412">
        <f t="shared" si="10"/>
        <v>0</v>
      </c>
      <c r="Q54" s="411">
        <f t="shared" si="10"/>
        <v>0</v>
      </c>
      <c r="R54" s="412">
        <f t="shared" si="10"/>
        <v>0</v>
      </c>
      <c r="S54" s="412">
        <f t="shared" si="10"/>
        <v>0</v>
      </c>
      <c r="T54" s="412">
        <f t="shared" si="10"/>
        <v>0</v>
      </c>
      <c r="U54" s="412">
        <f t="shared" si="10"/>
        <v>10</v>
      </c>
      <c r="V54" s="412">
        <f t="shared" si="10"/>
        <v>-4</v>
      </c>
      <c r="W54" s="411">
        <f t="shared" si="10"/>
        <v>6</v>
      </c>
      <c r="Y54" s="343" t="s">
        <v>93</v>
      </c>
      <c r="Z54" s="409" t="s">
        <v>94</v>
      </c>
      <c r="AA54" s="413">
        <f t="shared" si="11"/>
        <v>0</v>
      </c>
      <c r="AB54" s="413">
        <f t="shared" si="11"/>
        <v>0</v>
      </c>
      <c r="AC54" s="413">
        <f t="shared" si="11"/>
        <v>0</v>
      </c>
      <c r="AD54" s="413">
        <f t="shared" si="11"/>
        <v>0</v>
      </c>
      <c r="AE54" s="413">
        <f t="shared" si="11"/>
        <v>0</v>
      </c>
      <c r="AF54" s="413">
        <f t="shared" si="11"/>
        <v>0</v>
      </c>
      <c r="AG54" s="413">
        <f t="shared" si="11"/>
        <v>0.83333333333333337</v>
      </c>
      <c r="AH54" s="413">
        <f t="shared" si="11"/>
        <v>-0.33333333333333331</v>
      </c>
      <c r="AI54" s="414">
        <f t="shared" si="11"/>
        <v>2.0202020202020204E-2</v>
      </c>
    </row>
    <row r="55" spans="1:35">
      <c r="A55" s="343"/>
      <c r="B55" s="359"/>
      <c r="C55" s="359"/>
      <c r="D55" s="359"/>
      <c r="E55" s="359"/>
      <c r="F55" s="359"/>
      <c r="G55" s="359"/>
      <c r="H55" s="359"/>
      <c r="I55" s="359"/>
      <c r="J55" s="359"/>
      <c r="K55" s="415"/>
      <c r="M55" s="343"/>
      <c r="N55" s="359"/>
      <c r="O55" s="416"/>
      <c r="P55" s="417"/>
      <c r="Q55" s="416"/>
      <c r="R55" s="417"/>
      <c r="S55" s="417"/>
      <c r="T55" s="417"/>
      <c r="U55" s="417"/>
      <c r="V55" s="417"/>
      <c r="W55" s="416"/>
      <c r="Y55" s="343"/>
      <c r="Z55" s="359"/>
      <c r="AA55" s="418"/>
      <c r="AB55" s="418"/>
      <c r="AC55" s="418"/>
      <c r="AD55" s="418"/>
      <c r="AE55" s="418"/>
      <c r="AF55" s="418"/>
      <c r="AG55" s="418"/>
      <c r="AH55" s="418"/>
      <c r="AI55" s="419"/>
    </row>
    <row r="56" spans="1:35">
      <c r="A56" s="380" t="s">
        <v>95</v>
      </c>
      <c r="B56" s="364"/>
      <c r="C56" s="364"/>
      <c r="D56" s="364"/>
      <c r="E56" s="364"/>
      <c r="F56" s="364"/>
      <c r="G56" s="364"/>
      <c r="H56" s="364"/>
      <c r="I56" s="364"/>
      <c r="J56" s="364"/>
      <c r="K56" s="420"/>
      <c r="M56" s="380" t="s">
        <v>95</v>
      </c>
      <c r="N56" s="364"/>
      <c r="O56" s="421"/>
      <c r="P56" s="422"/>
      <c r="Q56" s="421"/>
      <c r="R56" s="422"/>
      <c r="S56" s="422"/>
      <c r="T56" s="422"/>
      <c r="U56" s="422"/>
      <c r="V56" s="422"/>
      <c r="W56" s="421"/>
      <c r="Y56" s="380" t="s">
        <v>95</v>
      </c>
      <c r="Z56" s="364"/>
      <c r="AA56" s="423"/>
      <c r="AB56" s="423"/>
      <c r="AC56" s="423"/>
      <c r="AD56" s="423"/>
      <c r="AE56" s="423"/>
      <c r="AF56" s="423"/>
      <c r="AG56" s="423"/>
      <c r="AH56" s="423"/>
      <c r="AI56" s="424"/>
    </row>
    <row r="57" spans="1:35">
      <c r="A57" s="343" t="s">
        <v>96</v>
      </c>
      <c r="B57" s="425" t="s">
        <v>86</v>
      </c>
      <c r="C57" s="426">
        <v>333.40511999999995</v>
      </c>
      <c r="D57" s="426">
        <v>365.67653999999999</v>
      </c>
      <c r="E57" s="426">
        <v>345.08439000000004</v>
      </c>
      <c r="F57" s="426">
        <v>337.44709999999901</v>
      </c>
      <c r="G57" s="426">
        <v>299.11020000000013</v>
      </c>
      <c r="H57" s="426">
        <v>306.76370000000031</v>
      </c>
      <c r="I57" s="426">
        <v>355.60647500000027</v>
      </c>
      <c r="J57" s="426">
        <v>355.60647500000027</v>
      </c>
      <c r="K57" s="379">
        <f t="shared" ref="K57:K63" si="12">SUM(C57:J57)</f>
        <v>2698.7</v>
      </c>
      <c r="M57" s="343" t="s">
        <v>96</v>
      </c>
      <c r="N57" s="425" t="s">
        <v>86</v>
      </c>
      <c r="O57" s="428">
        <f t="shared" ref="O57:W63" si="13">C28-C57</f>
        <v>0</v>
      </c>
      <c r="P57" s="429">
        <f t="shared" si="13"/>
        <v>0</v>
      </c>
      <c r="Q57" s="428">
        <f t="shared" si="13"/>
        <v>0</v>
      </c>
      <c r="R57" s="429">
        <f t="shared" si="13"/>
        <v>0</v>
      </c>
      <c r="S57" s="429">
        <f t="shared" si="13"/>
        <v>0</v>
      </c>
      <c r="T57" s="429">
        <f t="shared" si="13"/>
        <v>0</v>
      </c>
      <c r="U57" s="429">
        <f t="shared" si="13"/>
        <v>-40.033675000000642</v>
      </c>
      <c r="V57" s="429">
        <f t="shared" si="13"/>
        <v>-5.6663249999990057</v>
      </c>
      <c r="W57" s="430">
        <f t="shared" si="13"/>
        <v>-45.699999999999818</v>
      </c>
      <c r="Y57" s="343" t="s">
        <v>96</v>
      </c>
      <c r="Z57" s="425" t="s">
        <v>86</v>
      </c>
      <c r="AA57" s="431">
        <f t="shared" ref="AA57:AI63" si="14">(C28-C57)/C57</f>
        <v>0</v>
      </c>
      <c r="AB57" s="431">
        <f t="shared" si="14"/>
        <v>0</v>
      </c>
      <c r="AC57" s="431">
        <f t="shared" si="14"/>
        <v>0</v>
      </c>
      <c r="AD57" s="431">
        <f t="shared" si="14"/>
        <v>0</v>
      </c>
      <c r="AE57" s="431">
        <f t="shared" si="14"/>
        <v>0</v>
      </c>
      <c r="AF57" s="431">
        <f t="shared" si="14"/>
        <v>0</v>
      </c>
      <c r="AG57" s="431">
        <f t="shared" si="14"/>
        <v>-0.11257858845230703</v>
      </c>
      <c r="AH57" s="431">
        <f t="shared" si="14"/>
        <v>-1.5934257102599162E-2</v>
      </c>
      <c r="AI57" s="432">
        <f t="shared" si="14"/>
        <v>-1.6934079371549199E-2</v>
      </c>
    </row>
    <row r="58" spans="1:35">
      <c r="A58" s="343" t="s">
        <v>97</v>
      </c>
      <c r="B58" s="425" t="s">
        <v>86</v>
      </c>
      <c r="C58" s="426">
        <v>21.684699999999999</v>
      </c>
      <c r="D58" s="426">
        <v>21.4574</v>
      </c>
      <c r="E58" s="426">
        <v>20.864100000000001</v>
      </c>
      <c r="F58" s="426">
        <v>30.875499999999999</v>
      </c>
      <c r="G58" s="426">
        <v>30.055000000000003</v>
      </c>
      <c r="H58" s="426">
        <v>24.971599999999992</v>
      </c>
      <c r="I58" s="426">
        <v>43.645849999999996</v>
      </c>
      <c r="J58" s="426">
        <v>43.645849999999996</v>
      </c>
      <c r="K58" s="379">
        <f t="shared" si="12"/>
        <v>237.2</v>
      </c>
      <c r="M58" s="343" t="s">
        <v>97</v>
      </c>
      <c r="N58" s="425" t="s">
        <v>86</v>
      </c>
      <c r="O58" s="428">
        <f t="shared" si="13"/>
        <v>0</v>
      </c>
      <c r="P58" s="429">
        <f t="shared" si="13"/>
        <v>0</v>
      </c>
      <c r="Q58" s="428">
        <f t="shared" si="13"/>
        <v>0</v>
      </c>
      <c r="R58" s="429">
        <f t="shared" si="13"/>
        <v>0</v>
      </c>
      <c r="S58" s="429">
        <f t="shared" si="13"/>
        <v>0</v>
      </c>
      <c r="T58" s="429">
        <f t="shared" si="13"/>
        <v>0</v>
      </c>
      <c r="U58" s="429">
        <f t="shared" si="13"/>
        <v>4.3042500000000175</v>
      </c>
      <c r="V58" s="429">
        <f t="shared" si="13"/>
        <v>-4.5042500000000132</v>
      </c>
      <c r="W58" s="430">
        <f t="shared" si="13"/>
        <v>-0.19999999999998863</v>
      </c>
      <c r="Y58" s="343" t="s">
        <v>97</v>
      </c>
      <c r="Z58" s="425" t="s">
        <v>86</v>
      </c>
      <c r="AA58" s="431">
        <f t="shared" si="14"/>
        <v>0</v>
      </c>
      <c r="AB58" s="431">
        <f t="shared" si="14"/>
        <v>0</v>
      </c>
      <c r="AC58" s="431">
        <f t="shared" si="14"/>
        <v>0</v>
      </c>
      <c r="AD58" s="431">
        <f t="shared" si="14"/>
        <v>0</v>
      </c>
      <c r="AE58" s="431">
        <f t="shared" si="14"/>
        <v>0</v>
      </c>
      <c r="AF58" s="431">
        <f t="shared" si="14"/>
        <v>0</v>
      </c>
      <c r="AG58" s="431">
        <f t="shared" si="14"/>
        <v>9.8617623439571409E-2</v>
      </c>
      <c r="AH58" s="431">
        <f t="shared" si="14"/>
        <v>-0.1031999605919008</v>
      </c>
      <c r="AI58" s="432">
        <f t="shared" si="14"/>
        <v>-8.431703204046739E-4</v>
      </c>
    </row>
    <row r="59" spans="1:35">
      <c r="A59" s="343" t="s">
        <v>98</v>
      </c>
      <c r="B59" s="425" t="s">
        <v>86</v>
      </c>
      <c r="C59" s="426">
        <v>1.371</v>
      </c>
      <c r="D59" s="426">
        <v>1.7409000000000001</v>
      </c>
      <c r="E59" s="426">
        <v>0.77210000000000001</v>
      </c>
      <c r="F59" s="426">
        <v>1.1013999999999999</v>
      </c>
      <c r="G59" s="426">
        <v>0.98209999999999986</v>
      </c>
      <c r="H59" s="426">
        <v>0.2616</v>
      </c>
      <c r="I59" s="426">
        <v>1.2854500000000004</v>
      </c>
      <c r="J59" s="426">
        <v>1.2854500000000004</v>
      </c>
      <c r="K59" s="379">
        <f t="shared" si="12"/>
        <v>8.8000000000000007</v>
      </c>
      <c r="M59" s="343" t="s">
        <v>98</v>
      </c>
      <c r="N59" s="425" t="s">
        <v>86</v>
      </c>
      <c r="O59" s="428">
        <f t="shared" si="13"/>
        <v>0</v>
      </c>
      <c r="P59" s="429">
        <f t="shared" si="13"/>
        <v>0</v>
      </c>
      <c r="Q59" s="428">
        <f t="shared" si="13"/>
        <v>0</v>
      </c>
      <c r="R59" s="429">
        <f t="shared" si="13"/>
        <v>0</v>
      </c>
      <c r="S59" s="429">
        <f t="shared" si="13"/>
        <v>0</v>
      </c>
      <c r="T59" s="429">
        <f t="shared" si="13"/>
        <v>0</v>
      </c>
      <c r="U59" s="429">
        <f t="shared" si="13"/>
        <v>-1.2854500000000004</v>
      </c>
      <c r="V59" s="429">
        <f t="shared" si="13"/>
        <v>-0.81455000000000011</v>
      </c>
      <c r="W59" s="430">
        <f t="shared" si="13"/>
        <v>-2.1000000000000005</v>
      </c>
      <c r="Y59" s="343" t="s">
        <v>98</v>
      </c>
      <c r="Z59" s="425" t="s">
        <v>86</v>
      </c>
      <c r="AA59" s="431">
        <f t="shared" si="14"/>
        <v>0</v>
      </c>
      <c r="AB59" s="431">
        <f t="shared" si="14"/>
        <v>0</v>
      </c>
      <c r="AC59" s="431">
        <f t="shared" si="14"/>
        <v>0</v>
      </c>
      <c r="AD59" s="431">
        <f t="shared" si="14"/>
        <v>0</v>
      </c>
      <c r="AE59" s="431">
        <f t="shared" si="14"/>
        <v>0</v>
      </c>
      <c r="AF59" s="431">
        <f t="shared" si="14"/>
        <v>0</v>
      </c>
      <c r="AG59" s="431">
        <f t="shared" si="14"/>
        <v>-1</v>
      </c>
      <c r="AH59" s="431">
        <f t="shared" si="14"/>
        <v>-0.63366914310163747</v>
      </c>
      <c r="AI59" s="432">
        <f t="shared" si="14"/>
        <v>-0.23863636363636367</v>
      </c>
    </row>
    <row r="60" spans="1:35">
      <c r="A60" s="343" t="s">
        <v>99</v>
      </c>
      <c r="B60" s="425" t="s">
        <v>86</v>
      </c>
      <c r="C60" s="426">
        <v>64.840130000000002</v>
      </c>
      <c r="D60" s="426">
        <v>66.752329999999972</v>
      </c>
      <c r="E60" s="426">
        <v>100.33930000000005</v>
      </c>
      <c r="F60" s="426">
        <v>84.644199999999969</v>
      </c>
      <c r="G60" s="426">
        <v>69.894440000000003</v>
      </c>
      <c r="H60" s="426">
        <v>62.012000000000015</v>
      </c>
      <c r="I60" s="426">
        <v>34.408800000000014</v>
      </c>
      <c r="J60" s="426">
        <v>34.408800000000014</v>
      </c>
      <c r="K60" s="379">
        <f t="shared" si="12"/>
        <v>517.29999999999995</v>
      </c>
      <c r="M60" s="343" t="s">
        <v>99</v>
      </c>
      <c r="N60" s="425" t="s">
        <v>86</v>
      </c>
      <c r="O60" s="428">
        <f t="shared" si="13"/>
        <v>0</v>
      </c>
      <c r="P60" s="429">
        <f t="shared" si="13"/>
        <v>0</v>
      </c>
      <c r="Q60" s="428">
        <f t="shared" si="13"/>
        <v>0</v>
      </c>
      <c r="R60" s="429">
        <f t="shared" si="13"/>
        <v>0</v>
      </c>
      <c r="S60" s="429">
        <f t="shared" si="13"/>
        <v>0</v>
      </c>
      <c r="T60" s="429">
        <f t="shared" si="13"/>
        <v>0</v>
      </c>
      <c r="U60" s="429">
        <f t="shared" si="13"/>
        <v>24.993400000000058</v>
      </c>
      <c r="V60" s="429">
        <f t="shared" si="13"/>
        <v>28.706600000000009</v>
      </c>
      <c r="W60" s="430">
        <f t="shared" si="13"/>
        <v>53.700000000000045</v>
      </c>
      <c r="Y60" s="343" t="s">
        <v>99</v>
      </c>
      <c r="Z60" s="425" t="s">
        <v>86</v>
      </c>
      <c r="AA60" s="431">
        <f t="shared" si="14"/>
        <v>0</v>
      </c>
      <c r="AB60" s="431">
        <f t="shared" si="14"/>
        <v>0</v>
      </c>
      <c r="AC60" s="431">
        <f t="shared" si="14"/>
        <v>0</v>
      </c>
      <c r="AD60" s="431">
        <f t="shared" si="14"/>
        <v>0</v>
      </c>
      <c r="AE60" s="431">
        <f t="shared" si="14"/>
        <v>0</v>
      </c>
      <c r="AF60" s="431">
        <f t="shared" si="14"/>
        <v>0</v>
      </c>
      <c r="AG60" s="431">
        <f t="shared" si="14"/>
        <v>0.72636651089256377</v>
      </c>
      <c r="AH60" s="431">
        <f t="shared" si="14"/>
        <v>0.83428076538559892</v>
      </c>
      <c r="AI60" s="432">
        <f t="shared" si="14"/>
        <v>0.10380823506669254</v>
      </c>
    </row>
    <row r="61" spans="1:35">
      <c r="A61" s="343" t="s">
        <v>100</v>
      </c>
      <c r="B61" s="425" t="s">
        <v>86</v>
      </c>
      <c r="C61" s="426">
        <v>28.464999999999996</v>
      </c>
      <c r="D61" s="426">
        <v>25.340430000000001</v>
      </c>
      <c r="E61" s="426">
        <v>8.8669299999999982</v>
      </c>
      <c r="F61" s="426">
        <v>17.124899999999993</v>
      </c>
      <c r="G61" s="426">
        <v>17.6068</v>
      </c>
      <c r="H61" s="426">
        <v>15.241929999999996</v>
      </c>
      <c r="I61" s="426">
        <v>12.485829999999996</v>
      </c>
      <c r="J61" s="426">
        <v>12.485829999999996</v>
      </c>
      <c r="K61" s="379">
        <f t="shared" si="12"/>
        <v>137.61764999999997</v>
      </c>
      <c r="M61" s="343" t="s">
        <v>100</v>
      </c>
      <c r="N61" s="425" t="s">
        <v>86</v>
      </c>
      <c r="O61" s="428">
        <f t="shared" si="13"/>
        <v>0</v>
      </c>
      <c r="P61" s="429">
        <f t="shared" si="13"/>
        <v>0</v>
      </c>
      <c r="Q61" s="428">
        <f t="shared" si="13"/>
        <v>0</v>
      </c>
      <c r="R61" s="429">
        <f t="shared" si="13"/>
        <v>0</v>
      </c>
      <c r="S61" s="429">
        <f t="shared" si="13"/>
        <v>0</v>
      </c>
      <c r="T61" s="429">
        <f t="shared" si="13"/>
        <v>0</v>
      </c>
      <c r="U61" s="429">
        <f t="shared" si="13"/>
        <v>6.629170000000002</v>
      </c>
      <c r="V61" s="429">
        <f t="shared" si="13"/>
        <v>6.2531800000000111</v>
      </c>
      <c r="W61" s="430">
        <f t="shared" si="13"/>
        <v>12.882350000000031</v>
      </c>
      <c r="Y61" s="343" t="s">
        <v>100</v>
      </c>
      <c r="Z61" s="425" t="s">
        <v>86</v>
      </c>
      <c r="AA61" s="431">
        <f t="shared" si="14"/>
        <v>0</v>
      </c>
      <c r="AB61" s="431">
        <f t="shared" si="14"/>
        <v>0</v>
      </c>
      <c r="AC61" s="431">
        <f t="shared" si="14"/>
        <v>0</v>
      </c>
      <c r="AD61" s="431">
        <f t="shared" si="14"/>
        <v>0</v>
      </c>
      <c r="AE61" s="431">
        <f t="shared" si="14"/>
        <v>0</v>
      </c>
      <c r="AF61" s="431">
        <f t="shared" si="14"/>
        <v>0</v>
      </c>
      <c r="AG61" s="431">
        <f t="shared" si="14"/>
        <v>0.53093546844703188</v>
      </c>
      <c r="AH61" s="431">
        <f t="shared" si="14"/>
        <v>0.50082213196880088</v>
      </c>
      <c r="AI61" s="432">
        <f t="shared" si="14"/>
        <v>9.3609722299429141E-2</v>
      </c>
    </row>
    <row r="62" spans="1:35" ht="13.5">
      <c r="A62" s="343" t="s">
        <v>101</v>
      </c>
      <c r="B62" s="439" t="s">
        <v>81</v>
      </c>
      <c r="C62" s="410">
        <v>19750</v>
      </c>
      <c r="D62" s="410">
        <v>20361</v>
      </c>
      <c r="E62" s="410">
        <v>17308</v>
      </c>
      <c r="F62" s="410">
        <v>17354</v>
      </c>
      <c r="G62" s="410">
        <v>14043</v>
      </c>
      <c r="H62" s="410">
        <v>12934</v>
      </c>
      <c r="I62" s="410">
        <v>16233</v>
      </c>
      <c r="J62" s="410">
        <v>16233</v>
      </c>
      <c r="K62" s="379">
        <f t="shared" si="12"/>
        <v>134216</v>
      </c>
      <c r="M62" s="343" t="s">
        <v>101</v>
      </c>
      <c r="N62" s="439" t="s">
        <v>81</v>
      </c>
      <c r="O62" s="411">
        <f t="shared" si="13"/>
        <v>0</v>
      </c>
      <c r="P62" s="412">
        <f t="shared" si="13"/>
        <v>0</v>
      </c>
      <c r="Q62" s="411">
        <f t="shared" si="13"/>
        <v>0</v>
      </c>
      <c r="R62" s="412">
        <f t="shared" si="13"/>
        <v>0</v>
      </c>
      <c r="S62" s="412">
        <f t="shared" si="13"/>
        <v>0</v>
      </c>
      <c r="T62" s="412">
        <f t="shared" si="13"/>
        <v>0</v>
      </c>
      <c r="U62" s="412">
        <f t="shared" si="13"/>
        <v>-2625</v>
      </c>
      <c r="V62" s="412">
        <f t="shared" si="13"/>
        <v>-2372</v>
      </c>
      <c r="W62" s="430">
        <f t="shared" si="13"/>
        <v>-4997</v>
      </c>
      <c r="Y62" s="343" t="s">
        <v>101</v>
      </c>
      <c r="Z62" s="439" t="s">
        <v>81</v>
      </c>
      <c r="AA62" s="413">
        <f t="shared" si="14"/>
        <v>0</v>
      </c>
      <c r="AB62" s="413">
        <f t="shared" si="14"/>
        <v>0</v>
      </c>
      <c r="AC62" s="413">
        <f t="shared" si="14"/>
        <v>0</v>
      </c>
      <c r="AD62" s="413">
        <f t="shared" si="14"/>
        <v>0</v>
      </c>
      <c r="AE62" s="413">
        <f t="shared" si="14"/>
        <v>0</v>
      </c>
      <c r="AF62" s="413">
        <f t="shared" si="14"/>
        <v>0</v>
      </c>
      <c r="AG62" s="413">
        <f t="shared" si="14"/>
        <v>-0.16170763260025872</v>
      </c>
      <c r="AH62" s="413">
        <f t="shared" si="14"/>
        <v>-0.14612209696297665</v>
      </c>
      <c r="AI62" s="432">
        <f t="shared" si="14"/>
        <v>-3.7231030577576443E-2</v>
      </c>
    </row>
    <row r="63" spans="1:35" ht="13.5">
      <c r="A63" s="390" t="s">
        <v>102</v>
      </c>
      <c r="B63" s="439" t="s">
        <v>81</v>
      </c>
      <c r="C63" s="410">
        <v>22851</v>
      </c>
      <c r="D63" s="410">
        <v>23770</v>
      </c>
      <c r="E63" s="410">
        <v>21642</v>
      </c>
      <c r="F63" s="410">
        <v>23268</v>
      </c>
      <c r="G63" s="410">
        <v>18083</v>
      </c>
      <c r="H63" s="410">
        <v>17146</v>
      </c>
      <c r="I63" s="410">
        <v>21610</v>
      </c>
      <c r="J63" s="410">
        <v>21610</v>
      </c>
      <c r="K63" s="379">
        <f t="shared" si="12"/>
        <v>169980</v>
      </c>
      <c r="M63" s="390" t="s">
        <v>102</v>
      </c>
      <c r="N63" s="439" t="s">
        <v>81</v>
      </c>
      <c r="O63" s="411">
        <f t="shared" si="13"/>
        <v>0</v>
      </c>
      <c r="P63" s="412">
        <f t="shared" si="13"/>
        <v>0</v>
      </c>
      <c r="Q63" s="411">
        <f t="shared" si="13"/>
        <v>0</v>
      </c>
      <c r="R63" s="412">
        <f t="shared" si="13"/>
        <v>0</v>
      </c>
      <c r="S63" s="412">
        <f t="shared" si="13"/>
        <v>0</v>
      </c>
      <c r="T63" s="412">
        <f t="shared" si="13"/>
        <v>0</v>
      </c>
      <c r="U63" s="412">
        <f t="shared" si="13"/>
        <v>-4910</v>
      </c>
      <c r="V63" s="412">
        <f t="shared" si="13"/>
        <v>-5090</v>
      </c>
      <c r="W63" s="430">
        <f t="shared" si="13"/>
        <v>-10000</v>
      </c>
      <c r="Y63" s="390" t="s">
        <v>102</v>
      </c>
      <c r="Z63" s="439" t="s">
        <v>81</v>
      </c>
      <c r="AA63" s="413">
        <f t="shared" si="14"/>
        <v>0</v>
      </c>
      <c r="AB63" s="413">
        <f t="shared" si="14"/>
        <v>0</v>
      </c>
      <c r="AC63" s="413">
        <f t="shared" si="14"/>
        <v>0</v>
      </c>
      <c r="AD63" s="413">
        <f t="shared" si="14"/>
        <v>0</v>
      </c>
      <c r="AE63" s="413">
        <f t="shared" si="14"/>
        <v>0</v>
      </c>
      <c r="AF63" s="413">
        <f t="shared" si="14"/>
        <v>0</v>
      </c>
      <c r="AG63" s="413">
        <f t="shared" si="14"/>
        <v>-0.22720962517353077</v>
      </c>
      <c r="AH63" s="413">
        <f t="shared" si="14"/>
        <v>-0.23553910226746877</v>
      </c>
      <c r="AI63" s="432">
        <f t="shared" si="14"/>
        <v>-5.8830450641251912E-2</v>
      </c>
    </row>
    <row r="64" spans="1:35">
      <c r="C64" s="444"/>
      <c r="D64" s="444"/>
      <c r="E64" s="444"/>
      <c r="F64" s="444"/>
      <c r="G64" s="444"/>
      <c r="H64" s="444"/>
      <c r="I64" s="444"/>
      <c r="J64" s="444"/>
      <c r="K64" s="444"/>
    </row>
    <row r="65" spans="1:35">
      <c r="A65" s="6" t="s">
        <v>106</v>
      </c>
      <c r="D65" s="6"/>
      <c r="M65" s="6" t="s">
        <v>107</v>
      </c>
      <c r="P65" s="6"/>
      <c r="Y65" s="6" t="s">
        <v>108</v>
      </c>
      <c r="AB65" s="6"/>
    </row>
    <row r="67" spans="1:35" ht="12.75" customHeight="1">
      <c r="A67" s="8"/>
      <c r="B67" s="317"/>
      <c r="C67" s="445"/>
      <c r="D67" s="446"/>
      <c r="E67" s="447"/>
      <c r="F67" s="446"/>
      <c r="G67" s="446"/>
      <c r="H67" s="446"/>
      <c r="I67" s="446"/>
      <c r="J67" s="446"/>
      <c r="K67" s="448"/>
      <c r="M67" s="8"/>
      <c r="N67" s="317"/>
      <c r="O67" s="318" t="s">
        <v>2</v>
      </c>
      <c r="P67" s="319"/>
      <c r="Q67" s="319"/>
      <c r="R67" s="319"/>
      <c r="S67" s="319"/>
      <c r="T67" s="320"/>
      <c r="U67" s="392" t="s">
        <v>4</v>
      </c>
      <c r="V67" s="394"/>
      <c r="W67" s="321" t="s">
        <v>64</v>
      </c>
      <c r="Y67" s="8"/>
      <c r="Z67" s="317"/>
      <c r="AA67" s="318" t="s">
        <v>2</v>
      </c>
      <c r="AB67" s="319"/>
      <c r="AC67" s="319"/>
      <c r="AD67" s="319"/>
      <c r="AE67" s="319"/>
      <c r="AF67" s="320"/>
      <c r="AG67" s="392" t="s">
        <v>4</v>
      </c>
      <c r="AH67" s="394"/>
      <c r="AI67" s="321" t="s">
        <v>64</v>
      </c>
    </row>
    <row r="68" spans="1:35">
      <c r="A68" s="14"/>
      <c r="B68" s="324"/>
      <c r="C68" s="395" t="s">
        <v>109</v>
      </c>
      <c r="D68" s="396"/>
      <c r="E68" s="396"/>
      <c r="F68" s="396"/>
      <c r="G68" s="396"/>
      <c r="H68" s="396"/>
      <c r="I68" s="396"/>
      <c r="J68" s="396"/>
      <c r="K68" s="399"/>
      <c r="M68" s="14"/>
      <c r="N68" s="324"/>
      <c r="O68" s="325"/>
      <c r="P68" s="326"/>
      <c r="Q68" s="326"/>
      <c r="R68" s="326"/>
      <c r="S68" s="326"/>
      <c r="T68" s="327"/>
      <c r="U68" s="396"/>
      <c r="V68" s="399"/>
      <c r="W68" s="397"/>
      <c r="Y68" s="14"/>
      <c r="Z68" s="324"/>
      <c r="AA68" s="325"/>
      <c r="AB68" s="326"/>
      <c r="AC68" s="326"/>
      <c r="AD68" s="326"/>
      <c r="AE68" s="326"/>
      <c r="AF68" s="327"/>
      <c r="AG68" s="396"/>
      <c r="AH68" s="399"/>
      <c r="AI68" s="397"/>
    </row>
    <row r="69" spans="1:35">
      <c r="A69" s="21" t="s">
        <v>78</v>
      </c>
      <c r="B69" s="400" t="s">
        <v>105</v>
      </c>
      <c r="C69" s="332">
        <v>2014</v>
      </c>
      <c r="D69" s="401">
        <v>2015</v>
      </c>
      <c r="E69" s="401">
        <v>2016</v>
      </c>
      <c r="F69" s="402">
        <v>2017</v>
      </c>
      <c r="G69" s="401">
        <v>2018</v>
      </c>
      <c r="H69" s="402">
        <v>2019</v>
      </c>
      <c r="I69" s="401">
        <v>2020</v>
      </c>
      <c r="J69" s="403">
        <v>2021</v>
      </c>
      <c r="K69" s="449" t="s">
        <v>64</v>
      </c>
      <c r="M69" s="21" t="s">
        <v>78</v>
      </c>
      <c r="N69" s="400" t="s">
        <v>105</v>
      </c>
      <c r="O69" s="332">
        <v>2014</v>
      </c>
      <c r="P69" s="401">
        <v>2015</v>
      </c>
      <c r="Q69" s="401">
        <v>2016</v>
      </c>
      <c r="R69" s="402">
        <v>2017</v>
      </c>
      <c r="S69" s="401">
        <v>2018</v>
      </c>
      <c r="T69" s="402">
        <v>2019</v>
      </c>
      <c r="U69" s="401">
        <v>2020</v>
      </c>
      <c r="V69" s="403">
        <v>2021</v>
      </c>
      <c r="W69" s="328"/>
      <c r="Y69" s="21" t="s">
        <v>78</v>
      </c>
      <c r="Z69" s="400" t="s">
        <v>105</v>
      </c>
      <c r="AA69" s="332">
        <v>2014</v>
      </c>
      <c r="AB69" s="401">
        <v>2015</v>
      </c>
      <c r="AC69" s="401">
        <v>2016</v>
      </c>
      <c r="AD69" s="402">
        <v>2017</v>
      </c>
      <c r="AE69" s="401">
        <v>2018</v>
      </c>
      <c r="AF69" s="402">
        <v>2019</v>
      </c>
      <c r="AG69" s="401">
        <v>2020</v>
      </c>
      <c r="AH69" s="403">
        <v>2021</v>
      </c>
      <c r="AI69" s="328"/>
    </row>
    <row r="70" spans="1:35">
      <c r="A70" s="335" t="s">
        <v>79</v>
      </c>
      <c r="B70" s="336"/>
      <c r="C70" s="404"/>
      <c r="D70" s="405"/>
      <c r="E70" s="405"/>
      <c r="F70" s="405"/>
      <c r="G70" s="405"/>
      <c r="H70" s="405"/>
      <c r="I70" s="405"/>
      <c r="J70" s="405"/>
      <c r="K70" s="342"/>
      <c r="M70" s="335" t="s">
        <v>79</v>
      </c>
      <c r="N70" s="336"/>
      <c r="O70" s="404"/>
      <c r="P70" s="405"/>
      <c r="Q70" s="450"/>
      <c r="R70" s="405"/>
      <c r="S70" s="405"/>
      <c r="T70" s="405"/>
      <c r="U70" s="405"/>
      <c r="V70" s="405"/>
      <c r="W70" s="342"/>
      <c r="Y70" s="335" t="s">
        <v>79</v>
      </c>
      <c r="Z70" s="336"/>
      <c r="AA70" s="404"/>
      <c r="AB70" s="405"/>
      <c r="AC70" s="405"/>
      <c r="AD70" s="405"/>
      <c r="AE70" s="405"/>
      <c r="AF70" s="405"/>
      <c r="AG70" s="405"/>
      <c r="AH70" s="405"/>
      <c r="AI70" s="342"/>
    </row>
    <row r="71" spans="1:35" ht="13.5">
      <c r="A71" s="343" t="s">
        <v>80</v>
      </c>
      <c r="B71" s="409" t="s">
        <v>81</v>
      </c>
      <c r="C71" s="410">
        <v>9724.5788877272826</v>
      </c>
      <c r="D71" s="410">
        <v>9495.398451138175</v>
      </c>
      <c r="E71" s="410">
        <v>9271.9559563397052</v>
      </c>
      <c r="F71" s="410">
        <v>9054.1447676900643</v>
      </c>
      <c r="G71" s="410">
        <v>8841.85985325195</v>
      </c>
      <c r="H71" s="410">
        <v>8634.9980929957401</v>
      </c>
      <c r="I71" s="410">
        <v>8433.4609081437993</v>
      </c>
      <c r="J71" s="410">
        <v>8237.1538844232218</v>
      </c>
      <c r="K71" s="379">
        <v>71693.550801709935</v>
      </c>
      <c r="M71" s="343" t="s">
        <v>80</v>
      </c>
      <c r="N71" s="409" t="s">
        <v>81</v>
      </c>
      <c r="O71" s="451">
        <f>C13-C71</f>
        <v>-4088.5788877272826</v>
      </c>
      <c r="P71" s="452">
        <f t="shared" ref="P71:W71" si="15">D13-D71</f>
        <v>-3071.398451138175</v>
      </c>
      <c r="Q71" s="452">
        <f t="shared" si="15"/>
        <v>-3702.9559563397052</v>
      </c>
      <c r="R71" s="452">
        <f t="shared" si="15"/>
        <v>-2633.1447676900643</v>
      </c>
      <c r="S71" s="452">
        <f>G13-G71</f>
        <v>-2789.85985325195</v>
      </c>
      <c r="T71" s="452">
        <f t="shared" si="15"/>
        <v>-3745.9980929957401</v>
      </c>
      <c r="U71" s="452">
        <f t="shared" si="15"/>
        <v>-3672.4609081437993</v>
      </c>
      <c r="V71" s="452">
        <f t="shared" si="15"/>
        <v>-2164.2422028012679</v>
      </c>
      <c r="W71" s="453">
        <f t="shared" si="15"/>
        <v>-25868.639120087981</v>
      </c>
      <c r="Y71" s="343" t="s">
        <v>80</v>
      </c>
      <c r="Z71" s="409" t="s">
        <v>81</v>
      </c>
      <c r="AA71" s="454">
        <f>(C13-C71)/C71</f>
        <v>-0.42043762870669854</v>
      </c>
      <c r="AB71" s="455">
        <f t="shared" ref="AB71:AI71" si="16">(D13-D71)/D71</f>
        <v>-0.32346177645341662</v>
      </c>
      <c r="AC71" s="455">
        <f t="shared" si="16"/>
        <v>-0.3993716076496035</v>
      </c>
      <c r="AD71" s="455">
        <f t="shared" si="16"/>
        <v>-0.29082203071089668</v>
      </c>
      <c r="AE71" s="455">
        <f t="shared" si="16"/>
        <v>-0.31552862175550844</v>
      </c>
      <c r="AF71" s="455">
        <f t="shared" si="16"/>
        <v>-0.43381574062353279</v>
      </c>
      <c r="AG71" s="455">
        <f t="shared" si="16"/>
        <v>-0.43546308545729728</v>
      </c>
      <c r="AH71" s="455">
        <f t="shared" si="16"/>
        <v>-0.26274150430695897</v>
      </c>
      <c r="AI71" s="456">
        <f t="shared" si="16"/>
        <v>-0.360822400771242</v>
      </c>
    </row>
    <row r="72" spans="1:35" ht="13.5">
      <c r="A72" s="343" t="s">
        <v>82</v>
      </c>
      <c r="B72" s="409" t="s">
        <v>81</v>
      </c>
      <c r="C72" s="410">
        <v>5054.1887341828879</v>
      </c>
      <c r="D72" s="410">
        <v>4985.2575898353689</v>
      </c>
      <c r="E72" s="410">
        <v>4901.9519293510475</v>
      </c>
      <c r="F72" s="410">
        <v>4801.1580299594507</v>
      </c>
      <c r="G72" s="410">
        <v>4680.8178984061815</v>
      </c>
      <c r="H72" s="410">
        <v>4540.6366131469895</v>
      </c>
      <c r="I72" s="410">
        <v>4372.7139263329973</v>
      </c>
      <c r="J72" s="410">
        <v>4180.8058694271413</v>
      </c>
      <c r="K72" s="379">
        <v>37517.530590642062</v>
      </c>
      <c r="M72" s="343" t="s">
        <v>82</v>
      </c>
      <c r="N72" s="409" t="s">
        <v>81</v>
      </c>
      <c r="O72" s="451">
        <f t="shared" ref="O72:W72" si="17">C14-C72</f>
        <v>1262.8112658171121</v>
      </c>
      <c r="P72" s="452">
        <f t="shared" si="17"/>
        <v>431.74241016463111</v>
      </c>
      <c r="Q72" s="452">
        <f t="shared" si="17"/>
        <v>1041.0480706489525</v>
      </c>
      <c r="R72" s="452">
        <f t="shared" si="17"/>
        <v>819.84197004054931</v>
      </c>
      <c r="S72" s="452">
        <f t="shared" si="17"/>
        <v>568.18210159381852</v>
      </c>
      <c r="T72" s="452">
        <f t="shared" si="17"/>
        <v>1388.3633868530105</v>
      </c>
      <c r="U72" s="452">
        <f t="shared" si="17"/>
        <v>1399.2860736670027</v>
      </c>
      <c r="V72" s="452">
        <f t="shared" si="17"/>
        <v>2064.3538746255963</v>
      </c>
      <c r="W72" s="453">
        <f t="shared" si="17"/>
        <v>8975.6291534106786</v>
      </c>
      <c r="Y72" s="343" t="s">
        <v>82</v>
      </c>
      <c r="Z72" s="409" t="s">
        <v>81</v>
      </c>
      <c r="AA72" s="454">
        <f t="shared" ref="AA72:AI73" si="18">(C14-C72)/C72</f>
        <v>0.24985439448993413</v>
      </c>
      <c r="AB72" s="455">
        <f t="shared" si="18"/>
        <v>8.6603831875192785E-2</v>
      </c>
      <c r="AC72" s="455">
        <f t="shared" si="18"/>
        <v>0.21237419004775374</v>
      </c>
      <c r="AD72" s="455">
        <f t="shared" si="18"/>
        <v>0.17075921369900701</v>
      </c>
      <c r="AE72" s="455">
        <f t="shared" si="18"/>
        <v>0.12138521812337209</v>
      </c>
      <c r="AF72" s="455">
        <f t="shared" si="18"/>
        <v>0.30576403820405579</v>
      </c>
      <c r="AG72" s="455">
        <f t="shared" si="18"/>
        <v>0.32000402890304291</v>
      </c>
      <c r="AH72" s="455">
        <f t="shared" si="18"/>
        <v>0.49376936865725757</v>
      </c>
      <c r="AI72" s="456">
        <f t="shared" si="18"/>
        <v>0.23923827107238918</v>
      </c>
    </row>
    <row r="73" spans="1:35" ht="13.5">
      <c r="A73" s="343" t="s">
        <v>83</v>
      </c>
      <c r="B73" s="409" t="s">
        <v>81</v>
      </c>
      <c r="C73" s="410" t="s">
        <v>110</v>
      </c>
      <c r="D73" s="410" t="s">
        <v>110</v>
      </c>
      <c r="E73" s="410" t="s">
        <v>110</v>
      </c>
      <c r="F73" s="410" t="s">
        <v>110</v>
      </c>
      <c r="G73" s="410" t="s">
        <v>110</v>
      </c>
      <c r="H73" s="410" t="s">
        <v>110</v>
      </c>
      <c r="I73" s="410" t="s">
        <v>110</v>
      </c>
      <c r="J73" s="410" t="s">
        <v>110</v>
      </c>
      <c r="K73" s="410">
        <v>0</v>
      </c>
      <c r="M73" s="343" t="s">
        <v>83</v>
      </c>
      <c r="N73" s="409" t="s">
        <v>81</v>
      </c>
      <c r="O73" s="451"/>
      <c r="P73" s="452"/>
      <c r="Q73" s="452"/>
      <c r="R73" s="452"/>
      <c r="S73" s="452"/>
      <c r="T73" s="452"/>
      <c r="U73" s="452"/>
      <c r="V73" s="452"/>
      <c r="W73" s="453"/>
      <c r="Y73" s="343" t="s">
        <v>83</v>
      </c>
      <c r="Z73" s="409" t="s">
        <v>81</v>
      </c>
      <c r="AA73" s="454"/>
      <c r="AB73" s="455"/>
      <c r="AC73" s="455"/>
      <c r="AD73" s="455"/>
      <c r="AE73" s="455"/>
      <c r="AF73" s="455"/>
      <c r="AG73" s="455"/>
      <c r="AH73" s="455"/>
      <c r="AI73" s="456" t="e">
        <f t="shared" si="18"/>
        <v>#DIV/0!</v>
      </c>
    </row>
    <row r="74" spans="1:35">
      <c r="A74" s="358"/>
      <c r="B74" s="359"/>
      <c r="C74" s="359"/>
      <c r="D74" s="359"/>
      <c r="E74" s="359"/>
      <c r="F74" s="359"/>
      <c r="G74" s="359"/>
      <c r="H74" s="359"/>
      <c r="I74" s="359"/>
      <c r="J74" s="359"/>
      <c r="K74" s="415"/>
      <c r="M74" s="358"/>
      <c r="N74" s="359"/>
      <c r="O74" s="457"/>
      <c r="P74" s="457"/>
      <c r="Q74" s="457"/>
      <c r="R74" s="457"/>
      <c r="S74" s="457"/>
      <c r="T74" s="457"/>
      <c r="U74" s="457"/>
      <c r="V74" s="457"/>
      <c r="W74" s="458"/>
      <c r="Y74" s="358"/>
      <c r="Z74" s="359"/>
      <c r="AA74" s="459"/>
      <c r="AB74" s="459"/>
      <c r="AC74" s="459"/>
      <c r="AD74" s="459"/>
      <c r="AE74" s="459"/>
      <c r="AF74" s="459"/>
      <c r="AG74" s="459"/>
      <c r="AH74" s="459"/>
      <c r="AI74" s="460"/>
    </row>
    <row r="75" spans="1:35">
      <c r="A75" s="363" t="s">
        <v>84</v>
      </c>
      <c r="B75" s="364"/>
      <c r="C75" s="364"/>
      <c r="D75" s="364"/>
      <c r="E75" s="364"/>
      <c r="F75" s="364"/>
      <c r="G75" s="364"/>
      <c r="H75" s="364"/>
      <c r="I75" s="364"/>
      <c r="J75" s="364"/>
      <c r="K75" s="420"/>
      <c r="M75" s="363" t="s">
        <v>84</v>
      </c>
      <c r="N75" s="364"/>
      <c r="O75" s="461"/>
      <c r="P75" s="461"/>
      <c r="Q75" s="461"/>
      <c r="R75" s="461"/>
      <c r="S75" s="461"/>
      <c r="T75" s="461"/>
      <c r="U75" s="461"/>
      <c r="V75" s="461"/>
      <c r="W75" s="462"/>
      <c r="Y75" s="363" t="s">
        <v>84</v>
      </c>
      <c r="Z75" s="364"/>
      <c r="AA75" s="463"/>
      <c r="AB75" s="463"/>
      <c r="AC75" s="463"/>
      <c r="AD75" s="463"/>
      <c r="AE75" s="463"/>
      <c r="AF75" s="463"/>
      <c r="AG75" s="463"/>
      <c r="AH75" s="463"/>
      <c r="AI75" s="464"/>
    </row>
    <row r="76" spans="1:35">
      <c r="A76" s="343" t="s">
        <v>85</v>
      </c>
      <c r="B76" s="425" t="s">
        <v>86</v>
      </c>
      <c r="C76" s="426">
        <v>25</v>
      </c>
      <c r="D76" s="426">
        <v>25</v>
      </c>
      <c r="E76" s="426">
        <v>25</v>
      </c>
      <c r="F76" s="426">
        <v>25</v>
      </c>
      <c r="G76" s="426">
        <v>25</v>
      </c>
      <c r="H76" s="426">
        <v>25</v>
      </c>
      <c r="I76" s="426">
        <v>25</v>
      </c>
      <c r="J76" s="426">
        <v>25</v>
      </c>
      <c r="K76" s="427">
        <v>200</v>
      </c>
      <c r="M76" s="343" t="s">
        <v>85</v>
      </c>
      <c r="N76" s="425" t="s">
        <v>86</v>
      </c>
      <c r="O76" s="465">
        <f t="shared" ref="O76:W83" si="19">C18-C76</f>
        <v>-13.68192</v>
      </c>
      <c r="P76" s="466">
        <f t="shared" si="19"/>
        <v>-11.559580000000002</v>
      </c>
      <c r="Q76" s="466">
        <f t="shared" si="19"/>
        <v>-15.17685</v>
      </c>
      <c r="R76" s="466">
        <f t="shared" si="19"/>
        <v>-12.395779999999998</v>
      </c>
      <c r="S76" s="466">
        <f t="shared" si="19"/>
        <v>-7.4947999999999979</v>
      </c>
      <c r="T76" s="466">
        <f t="shared" si="19"/>
        <v>-2.2043999999999997</v>
      </c>
      <c r="U76" s="466">
        <f t="shared" si="19"/>
        <v>-6.1138000000000012</v>
      </c>
      <c r="V76" s="466">
        <f t="shared" si="19"/>
        <v>-0.14954333333333736</v>
      </c>
      <c r="W76" s="467">
        <f t="shared" si="19"/>
        <v>-68.776673333333321</v>
      </c>
      <c r="Y76" s="343" t="s">
        <v>85</v>
      </c>
      <c r="Z76" s="425" t="s">
        <v>86</v>
      </c>
      <c r="AA76" s="468">
        <f t="shared" ref="AA76:AI83" si="20">(C18-C76)/C76</f>
        <v>-0.54727680000000001</v>
      </c>
      <c r="AB76" s="469">
        <f t="shared" si="20"/>
        <v>-0.46238320000000011</v>
      </c>
      <c r="AC76" s="469">
        <f t="shared" si="20"/>
        <v>-0.607074</v>
      </c>
      <c r="AD76" s="469">
        <f t="shared" si="20"/>
        <v>-0.49583119999999992</v>
      </c>
      <c r="AE76" s="469">
        <f t="shared" si="20"/>
        <v>-0.29979199999999989</v>
      </c>
      <c r="AF76" s="469">
        <f t="shared" si="20"/>
        <v>-8.817599999999999E-2</v>
      </c>
      <c r="AG76" s="469">
        <f t="shared" si="20"/>
        <v>-0.24455200000000005</v>
      </c>
      <c r="AH76" s="469">
        <f t="shared" si="20"/>
        <v>-5.981733333333494E-3</v>
      </c>
      <c r="AI76" s="470">
        <f t="shared" si="20"/>
        <v>-0.34388336666666658</v>
      </c>
    </row>
    <row r="77" spans="1:35" ht="13.5">
      <c r="A77" s="343" t="s">
        <v>87</v>
      </c>
      <c r="B77" s="409" t="s">
        <v>81</v>
      </c>
      <c r="C77" s="377">
        <v>16</v>
      </c>
      <c r="D77" s="377">
        <v>16</v>
      </c>
      <c r="E77" s="377">
        <v>16</v>
      </c>
      <c r="F77" s="377">
        <v>16</v>
      </c>
      <c r="G77" s="377">
        <v>16</v>
      </c>
      <c r="H77" s="377">
        <v>16</v>
      </c>
      <c r="I77" s="377">
        <v>16</v>
      </c>
      <c r="J77" s="377">
        <v>16</v>
      </c>
      <c r="K77" s="427">
        <v>128</v>
      </c>
      <c r="M77" s="343" t="s">
        <v>87</v>
      </c>
      <c r="N77" s="409" t="s">
        <v>81</v>
      </c>
      <c r="O77" s="452">
        <f t="shared" si="19"/>
        <v>-16</v>
      </c>
      <c r="P77" s="452">
        <f t="shared" si="19"/>
        <v>-16</v>
      </c>
      <c r="Q77" s="452">
        <f t="shared" si="19"/>
        <v>-12</v>
      </c>
      <c r="R77" s="452">
        <f t="shared" si="19"/>
        <v>-16</v>
      </c>
      <c r="S77" s="452">
        <f t="shared" si="19"/>
        <v>-15</v>
      </c>
      <c r="T77" s="452">
        <f t="shared" si="19"/>
        <v>-15</v>
      </c>
      <c r="U77" s="452">
        <f t="shared" si="19"/>
        <v>-15</v>
      </c>
      <c r="V77" s="452">
        <f t="shared" si="19"/>
        <v>-14</v>
      </c>
      <c r="W77" s="467">
        <f t="shared" si="19"/>
        <v>-119</v>
      </c>
      <c r="Y77" s="343" t="s">
        <v>87</v>
      </c>
      <c r="Z77" s="409" t="s">
        <v>81</v>
      </c>
      <c r="AA77" s="455">
        <f t="shared" si="20"/>
        <v>-1</v>
      </c>
      <c r="AB77" s="455">
        <f t="shared" si="20"/>
        <v>-1</v>
      </c>
      <c r="AC77" s="455">
        <f t="shared" si="20"/>
        <v>-0.75</v>
      </c>
      <c r="AD77" s="455">
        <f t="shared" si="20"/>
        <v>-1</v>
      </c>
      <c r="AE77" s="455">
        <f t="shared" si="20"/>
        <v>-0.9375</v>
      </c>
      <c r="AF77" s="455">
        <f t="shared" si="20"/>
        <v>-0.9375</v>
      </c>
      <c r="AG77" s="455">
        <f t="shared" si="20"/>
        <v>-0.9375</v>
      </c>
      <c r="AH77" s="455">
        <f t="shared" si="20"/>
        <v>-0.875</v>
      </c>
      <c r="AI77" s="470">
        <f t="shared" si="20"/>
        <v>-0.9296875</v>
      </c>
    </row>
    <row r="78" spans="1:35" ht="13.9" thickBot="1">
      <c r="A78" s="343" t="s">
        <v>88</v>
      </c>
      <c r="B78" s="376" t="s">
        <v>81</v>
      </c>
      <c r="C78" s="433">
        <v>12165</v>
      </c>
      <c r="D78" s="433">
        <v>12230</v>
      </c>
      <c r="E78" s="433">
        <v>12305</v>
      </c>
      <c r="F78" s="433">
        <v>12365</v>
      </c>
      <c r="G78" s="433">
        <v>12140</v>
      </c>
      <c r="H78" s="433">
        <v>12215</v>
      </c>
      <c r="I78" s="433">
        <v>12285</v>
      </c>
      <c r="J78" s="433">
        <v>12355</v>
      </c>
      <c r="K78" s="434">
        <v>98060</v>
      </c>
      <c r="M78" s="343" t="s">
        <v>88</v>
      </c>
      <c r="N78" s="376" t="s">
        <v>81</v>
      </c>
      <c r="O78" s="471">
        <f t="shared" si="19"/>
        <v>-667</v>
      </c>
      <c r="P78" s="471">
        <f t="shared" si="19"/>
        <v>-936</v>
      </c>
      <c r="Q78" s="471">
        <f t="shared" si="19"/>
        <v>-665</v>
      </c>
      <c r="R78" s="471">
        <f t="shared" si="19"/>
        <v>-432</v>
      </c>
      <c r="S78" s="471">
        <f t="shared" si="19"/>
        <v>-1066</v>
      </c>
      <c r="T78" s="471">
        <f t="shared" si="19"/>
        <v>-1358</v>
      </c>
      <c r="U78" s="471">
        <f t="shared" si="19"/>
        <v>-2058</v>
      </c>
      <c r="V78" s="471">
        <f t="shared" si="19"/>
        <v>-985</v>
      </c>
      <c r="W78" s="472">
        <f t="shared" si="19"/>
        <v>-8167</v>
      </c>
      <c r="Y78" s="343" t="s">
        <v>88</v>
      </c>
      <c r="Z78" s="376" t="s">
        <v>81</v>
      </c>
      <c r="AA78" s="473">
        <f t="shared" si="20"/>
        <v>-5.4829428688861488E-2</v>
      </c>
      <c r="AB78" s="473">
        <f t="shared" si="20"/>
        <v>-7.6533115290269835E-2</v>
      </c>
      <c r="AC78" s="473">
        <f t="shared" si="20"/>
        <v>-5.4043071921982933E-2</v>
      </c>
      <c r="AD78" s="473">
        <f t="shared" si="20"/>
        <v>-3.4937323089365147E-2</v>
      </c>
      <c r="AE78" s="473">
        <f t="shared" si="20"/>
        <v>-8.780889621087315E-2</v>
      </c>
      <c r="AF78" s="473">
        <f t="shared" si="20"/>
        <v>-0.11117478510028653</v>
      </c>
      <c r="AG78" s="473">
        <f t="shared" si="20"/>
        <v>-0.16752136752136751</v>
      </c>
      <c r="AH78" s="473">
        <f t="shared" si="20"/>
        <v>-7.9724807770133549E-2</v>
      </c>
      <c r="AI78" s="474">
        <f t="shared" si="20"/>
        <v>-8.3285743422394448E-2</v>
      </c>
    </row>
    <row r="79" spans="1:35" ht="13.9" thickTop="1">
      <c r="A79" s="343" t="s">
        <v>89</v>
      </c>
      <c r="B79" s="439" t="s">
        <v>81</v>
      </c>
      <c r="C79" s="355">
        <v>2485</v>
      </c>
      <c r="D79" s="355">
        <v>2535</v>
      </c>
      <c r="E79" s="355">
        <v>2590</v>
      </c>
      <c r="F79" s="355">
        <v>2640</v>
      </c>
      <c r="G79" s="355">
        <v>2690</v>
      </c>
      <c r="H79" s="355">
        <v>2750</v>
      </c>
      <c r="I79" s="355">
        <v>2805</v>
      </c>
      <c r="J79" s="355">
        <v>2860</v>
      </c>
      <c r="K79" s="357">
        <v>21355</v>
      </c>
      <c r="M79" s="343" t="s">
        <v>89</v>
      </c>
      <c r="N79" s="439" t="s">
        <v>81</v>
      </c>
      <c r="O79" s="475">
        <f t="shared" si="19"/>
        <v>413</v>
      </c>
      <c r="P79" s="476">
        <f t="shared" si="19"/>
        <v>1060</v>
      </c>
      <c r="Q79" s="476">
        <f t="shared" si="19"/>
        <v>1288</v>
      </c>
      <c r="R79" s="476">
        <f t="shared" si="19"/>
        <v>1823</v>
      </c>
      <c r="S79" s="476">
        <f t="shared" si="19"/>
        <v>1680</v>
      </c>
      <c r="T79" s="476">
        <f t="shared" si="19"/>
        <v>1347</v>
      </c>
      <c r="U79" s="476">
        <f t="shared" si="19"/>
        <v>1304</v>
      </c>
      <c r="V79" s="476">
        <f t="shared" si="19"/>
        <v>983</v>
      </c>
      <c r="W79" s="477">
        <f t="shared" si="19"/>
        <v>9898</v>
      </c>
      <c r="Y79" s="343" t="s">
        <v>89</v>
      </c>
      <c r="Z79" s="439" t="s">
        <v>81</v>
      </c>
      <c r="AA79" s="478">
        <f t="shared" si="20"/>
        <v>0.16619718309859155</v>
      </c>
      <c r="AB79" s="479">
        <f t="shared" si="20"/>
        <v>0.4181459566074951</v>
      </c>
      <c r="AC79" s="479">
        <f t="shared" si="20"/>
        <v>0.49729729729729732</v>
      </c>
      <c r="AD79" s="479">
        <f t="shared" si="20"/>
        <v>0.69053030303030305</v>
      </c>
      <c r="AE79" s="479">
        <f t="shared" si="20"/>
        <v>0.62453531598513012</v>
      </c>
      <c r="AF79" s="479">
        <f t="shared" si="20"/>
        <v>0.48981818181818182</v>
      </c>
      <c r="AG79" s="479">
        <f t="shared" si="20"/>
        <v>0.46488413547237079</v>
      </c>
      <c r="AH79" s="479">
        <f t="shared" si="20"/>
        <v>0.34370629370629369</v>
      </c>
      <c r="AI79" s="480">
        <f t="shared" si="20"/>
        <v>0.4634980098337626</v>
      </c>
    </row>
    <row r="80" spans="1:35" ht="13.5">
      <c r="A80" s="343" t="s">
        <v>90</v>
      </c>
      <c r="B80" s="409" t="s">
        <v>81</v>
      </c>
      <c r="C80" s="410">
        <v>7465</v>
      </c>
      <c r="D80" s="410">
        <v>7465</v>
      </c>
      <c r="E80" s="410">
        <v>7465</v>
      </c>
      <c r="F80" s="410">
        <v>7465</v>
      </c>
      <c r="G80" s="410">
        <v>7475</v>
      </c>
      <c r="H80" s="410">
        <v>7475</v>
      </c>
      <c r="I80" s="410">
        <v>7475</v>
      </c>
      <c r="J80" s="410">
        <v>7475</v>
      </c>
      <c r="K80" s="379">
        <v>59760</v>
      </c>
      <c r="M80" s="343" t="s">
        <v>90</v>
      </c>
      <c r="N80" s="409" t="s">
        <v>81</v>
      </c>
      <c r="O80" s="451">
        <f t="shared" si="19"/>
        <v>-2084</v>
      </c>
      <c r="P80" s="452">
        <f t="shared" si="19"/>
        <v>-1957</v>
      </c>
      <c r="Q80" s="452">
        <f t="shared" si="19"/>
        <v>-1902</v>
      </c>
      <c r="R80" s="452">
        <f t="shared" si="19"/>
        <v>-2230</v>
      </c>
      <c r="S80" s="452">
        <f t="shared" si="19"/>
        <v>-2477</v>
      </c>
      <c r="T80" s="452">
        <f t="shared" si="19"/>
        <v>-2389</v>
      </c>
      <c r="U80" s="452">
        <f t="shared" si="19"/>
        <v>-3014</v>
      </c>
      <c r="V80" s="452">
        <f t="shared" si="19"/>
        <v>-2463</v>
      </c>
      <c r="W80" s="453">
        <f t="shared" si="19"/>
        <v>-18516</v>
      </c>
      <c r="Y80" s="343" t="s">
        <v>90</v>
      </c>
      <c r="Z80" s="409" t="s">
        <v>81</v>
      </c>
      <c r="AA80" s="454">
        <f t="shared" si="20"/>
        <v>-0.27916945746818489</v>
      </c>
      <c r="AB80" s="455">
        <f t="shared" si="20"/>
        <v>-0.2621567314132619</v>
      </c>
      <c r="AC80" s="455">
        <f t="shared" si="20"/>
        <v>-0.25478901540522436</v>
      </c>
      <c r="AD80" s="455">
        <f t="shared" si="20"/>
        <v>-0.29872739450770264</v>
      </c>
      <c r="AE80" s="455">
        <f t="shared" si="20"/>
        <v>-0.33137123745819397</v>
      </c>
      <c r="AF80" s="455">
        <f t="shared" si="20"/>
        <v>-0.31959866220735789</v>
      </c>
      <c r="AG80" s="455">
        <f t="shared" si="20"/>
        <v>-0.40321070234113715</v>
      </c>
      <c r="AH80" s="455">
        <f t="shared" si="20"/>
        <v>-0.32949832775919735</v>
      </c>
      <c r="AI80" s="456">
        <f t="shared" si="20"/>
        <v>-0.30983935742971885</v>
      </c>
    </row>
    <row r="81" spans="1:35" ht="13.5">
      <c r="A81" s="343" t="s">
        <v>91</v>
      </c>
      <c r="B81" s="409" t="s">
        <v>81</v>
      </c>
      <c r="C81" s="410">
        <v>715</v>
      </c>
      <c r="D81" s="410">
        <v>730</v>
      </c>
      <c r="E81" s="410">
        <v>750</v>
      </c>
      <c r="F81" s="410">
        <v>760</v>
      </c>
      <c r="G81" s="410">
        <v>775</v>
      </c>
      <c r="H81" s="410">
        <v>790</v>
      </c>
      <c r="I81" s="410">
        <v>805</v>
      </c>
      <c r="J81" s="410">
        <v>820</v>
      </c>
      <c r="K81" s="379">
        <v>6145</v>
      </c>
      <c r="M81" s="343" t="s">
        <v>91</v>
      </c>
      <c r="N81" s="409" t="s">
        <v>81</v>
      </c>
      <c r="O81" s="451">
        <f t="shared" si="19"/>
        <v>-128</v>
      </c>
      <c r="P81" s="452">
        <f t="shared" si="19"/>
        <v>-200</v>
      </c>
      <c r="Q81" s="452">
        <f t="shared" si="19"/>
        <v>-110</v>
      </c>
      <c r="R81" s="452">
        <f t="shared" si="19"/>
        <v>-121</v>
      </c>
      <c r="S81" s="452">
        <f t="shared" si="19"/>
        <v>-120</v>
      </c>
      <c r="T81" s="452">
        <f t="shared" si="19"/>
        <v>-199</v>
      </c>
      <c r="U81" s="452">
        <f t="shared" si="19"/>
        <v>-239</v>
      </c>
      <c r="V81" s="452">
        <f t="shared" si="19"/>
        <v>-222</v>
      </c>
      <c r="W81" s="453">
        <f t="shared" si="19"/>
        <v>-1339</v>
      </c>
      <c r="Y81" s="343" t="s">
        <v>91</v>
      </c>
      <c r="Z81" s="409" t="s">
        <v>81</v>
      </c>
      <c r="AA81" s="454">
        <f t="shared" si="20"/>
        <v>-0.17902097902097902</v>
      </c>
      <c r="AB81" s="455">
        <f t="shared" si="20"/>
        <v>-0.27397260273972601</v>
      </c>
      <c r="AC81" s="455">
        <f t="shared" si="20"/>
        <v>-0.14666666666666667</v>
      </c>
      <c r="AD81" s="455">
        <f t="shared" si="20"/>
        <v>-0.15921052631578947</v>
      </c>
      <c r="AE81" s="455">
        <f t="shared" si="20"/>
        <v>-0.15483870967741936</v>
      </c>
      <c r="AF81" s="455">
        <f t="shared" si="20"/>
        <v>-0.2518987341772152</v>
      </c>
      <c r="AG81" s="455">
        <f t="shared" si="20"/>
        <v>-0.29689440993788818</v>
      </c>
      <c r="AH81" s="455">
        <f t="shared" si="20"/>
        <v>-0.27073170731707319</v>
      </c>
      <c r="AI81" s="456">
        <f t="shared" si="20"/>
        <v>-0.21790073230268511</v>
      </c>
    </row>
    <row r="82" spans="1:35" ht="13.5">
      <c r="A82" s="343" t="s">
        <v>92</v>
      </c>
      <c r="B82" s="409" t="s">
        <v>81</v>
      </c>
      <c r="C82" s="410">
        <v>1500</v>
      </c>
      <c r="D82" s="410">
        <v>1500</v>
      </c>
      <c r="E82" s="410">
        <v>1500</v>
      </c>
      <c r="F82" s="410">
        <v>1618</v>
      </c>
      <c r="G82" s="410">
        <v>1618</v>
      </c>
      <c r="H82" s="410">
        <v>1618</v>
      </c>
      <c r="I82" s="410">
        <v>1618</v>
      </c>
      <c r="J82" s="410">
        <v>1618</v>
      </c>
      <c r="K82" s="379">
        <v>12590</v>
      </c>
      <c r="M82" s="343" t="s">
        <v>92</v>
      </c>
      <c r="N82" s="409" t="s">
        <v>81</v>
      </c>
      <c r="O82" s="451">
        <f t="shared" si="19"/>
        <v>1132</v>
      </c>
      <c r="P82" s="452">
        <f t="shared" si="19"/>
        <v>161</v>
      </c>
      <c r="Q82" s="452">
        <f t="shared" si="19"/>
        <v>59</v>
      </c>
      <c r="R82" s="452">
        <f t="shared" si="19"/>
        <v>-22</v>
      </c>
      <c r="S82" s="452">
        <f t="shared" si="19"/>
        <v>-567</v>
      </c>
      <c r="T82" s="452">
        <f t="shared" si="19"/>
        <v>-535</v>
      </c>
      <c r="U82" s="452">
        <f t="shared" si="19"/>
        <v>-527</v>
      </c>
      <c r="V82" s="452">
        <f t="shared" si="19"/>
        <v>299</v>
      </c>
      <c r="W82" s="453">
        <f t="shared" si="19"/>
        <v>0</v>
      </c>
      <c r="Y82" s="343" t="s">
        <v>92</v>
      </c>
      <c r="Z82" s="409" t="s">
        <v>81</v>
      </c>
      <c r="AA82" s="454">
        <f t="shared" si="20"/>
        <v>0.75466666666666671</v>
      </c>
      <c r="AB82" s="455">
        <f t="shared" si="20"/>
        <v>0.10733333333333334</v>
      </c>
      <c r="AC82" s="455">
        <f t="shared" si="20"/>
        <v>3.9333333333333331E-2</v>
      </c>
      <c r="AD82" s="455">
        <f t="shared" si="20"/>
        <v>-1.3597033374536464E-2</v>
      </c>
      <c r="AE82" s="455">
        <f t="shared" si="20"/>
        <v>-0.3504326328800989</v>
      </c>
      <c r="AF82" s="455">
        <f t="shared" si="20"/>
        <v>-0.33065512978986406</v>
      </c>
      <c r="AG82" s="455">
        <f t="shared" si="20"/>
        <v>-0.32571075401730532</v>
      </c>
      <c r="AH82" s="455">
        <f t="shared" si="20"/>
        <v>0.18479604449938195</v>
      </c>
      <c r="AI82" s="456">
        <f t="shared" si="20"/>
        <v>0</v>
      </c>
    </row>
    <row r="83" spans="1:35" ht="13.5">
      <c r="A83" s="343" t="s">
        <v>93</v>
      </c>
      <c r="B83" s="409" t="s">
        <v>94</v>
      </c>
      <c r="C83" s="377">
        <v>42</v>
      </c>
      <c r="D83" s="377">
        <v>53</v>
      </c>
      <c r="E83" s="377">
        <v>56</v>
      </c>
      <c r="F83" s="377">
        <v>61</v>
      </c>
      <c r="G83" s="377">
        <v>66</v>
      </c>
      <c r="H83" s="377">
        <v>74</v>
      </c>
      <c r="I83" s="377">
        <v>77</v>
      </c>
      <c r="J83" s="377">
        <v>85</v>
      </c>
      <c r="K83" s="377">
        <v>514</v>
      </c>
      <c r="M83" s="343" t="s">
        <v>93</v>
      </c>
      <c r="N83" s="409" t="s">
        <v>94</v>
      </c>
      <c r="O83" s="452">
        <f t="shared" si="19"/>
        <v>52</v>
      </c>
      <c r="P83" s="452">
        <f t="shared" si="19"/>
        <v>37</v>
      </c>
      <c r="Q83" s="452">
        <f t="shared" si="19"/>
        <v>-21</v>
      </c>
      <c r="R83" s="452">
        <f t="shared" si="19"/>
        <v>-37</v>
      </c>
      <c r="S83" s="452">
        <f t="shared" si="19"/>
        <v>-50</v>
      </c>
      <c r="T83" s="452">
        <f t="shared" si="19"/>
        <v>-60</v>
      </c>
      <c r="U83" s="452">
        <f t="shared" si="19"/>
        <v>-55</v>
      </c>
      <c r="V83" s="452">
        <f t="shared" si="19"/>
        <v>-77</v>
      </c>
      <c r="W83" s="453">
        <f t="shared" si="19"/>
        <v>-211</v>
      </c>
      <c r="Y83" s="343" t="s">
        <v>93</v>
      </c>
      <c r="Z83" s="409" t="s">
        <v>94</v>
      </c>
      <c r="AA83" s="455">
        <f t="shared" si="20"/>
        <v>1.2380952380952381</v>
      </c>
      <c r="AB83" s="455">
        <f t="shared" si="20"/>
        <v>0.69811320754716977</v>
      </c>
      <c r="AC83" s="455">
        <f t="shared" si="20"/>
        <v>-0.375</v>
      </c>
      <c r="AD83" s="455">
        <f t="shared" si="20"/>
        <v>-0.60655737704918034</v>
      </c>
      <c r="AE83" s="455">
        <f t="shared" si="20"/>
        <v>-0.75757575757575757</v>
      </c>
      <c r="AF83" s="455">
        <f t="shared" si="20"/>
        <v>-0.81081081081081086</v>
      </c>
      <c r="AG83" s="455">
        <f t="shared" si="20"/>
        <v>-0.7142857142857143</v>
      </c>
      <c r="AH83" s="455">
        <f t="shared" si="20"/>
        <v>-0.90588235294117647</v>
      </c>
      <c r="AI83" s="456">
        <f t="shared" si="20"/>
        <v>-0.41050583657587547</v>
      </c>
    </row>
    <row r="84" spans="1:35">
      <c r="A84" s="343"/>
      <c r="B84" s="359"/>
      <c r="C84" s="359"/>
      <c r="D84" s="359"/>
      <c r="E84" s="359"/>
      <c r="F84" s="359"/>
      <c r="G84" s="359"/>
      <c r="H84" s="359"/>
      <c r="I84" s="359"/>
      <c r="J84" s="359"/>
      <c r="K84" s="415"/>
      <c r="M84" s="343"/>
      <c r="N84" s="359"/>
      <c r="O84" s="457"/>
      <c r="P84" s="457"/>
      <c r="Q84" s="457"/>
      <c r="R84" s="457"/>
      <c r="S84" s="457"/>
      <c r="T84" s="457"/>
      <c r="U84" s="457"/>
      <c r="V84" s="457"/>
      <c r="W84" s="458"/>
      <c r="Y84" s="343"/>
      <c r="Z84" s="359"/>
      <c r="AA84" s="459"/>
      <c r="AB84" s="459"/>
      <c r="AC84" s="459"/>
      <c r="AD84" s="459"/>
      <c r="AE84" s="459"/>
      <c r="AF84" s="459"/>
      <c r="AG84" s="459"/>
      <c r="AH84" s="459"/>
      <c r="AI84" s="460"/>
    </row>
    <row r="85" spans="1:35">
      <c r="A85" s="380" t="s">
        <v>95</v>
      </c>
      <c r="B85" s="364"/>
      <c r="C85" s="364"/>
      <c r="D85" s="364"/>
      <c r="E85" s="364"/>
      <c r="F85" s="364"/>
      <c r="G85" s="364"/>
      <c r="H85" s="364"/>
      <c r="I85" s="364"/>
      <c r="J85" s="364"/>
      <c r="K85" s="420"/>
      <c r="M85" s="380" t="s">
        <v>95</v>
      </c>
      <c r="N85" s="364"/>
      <c r="O85" s="461"/>
      <c r="P85" s="461"/>
      <c r="Q85" s="461"/>
      <c r="R85" s="461"/>
      <c r="S85" s="461"/>
      <c r="T85" s="461"/>
      <c r="U85" s="461"/>
      <c r="V85" s="461"/>
      <c r="W85" s="462"/>
      <c r="Y85" s="380" t="s">
        <v>95</v>
      </c>
      <c r="Z85" s="364"/>
      <c r="AA85" s="463"/>
      <c r="AB85" s="463"/>
      <c r="AC85" s="463"/>
      <c r="AD85" s="463"/>
      <c r="AE85" s="463"/>
      <c r="AF85" s="463"/>
      <c r="AG85" s="463"/>
      <c r="AH85" s="463"/>
      <c r="AI85" s="464"/>
    </row>
    <row r="86" spans="1:35">
      <c r="A86" s="343" t="s">
        <v>96</v>
      </c>
      <c r="B86" s="425" t="s">
        <v>86</v>
      </c>
      <c r="C86" s="426">
        <v>331.50761624156763</v>
      </c>
      <c r="D86" s="426">
        <v>330.96103574691608</v>
      </c>
      <c r="E86" s="426">
        <v>330.43396806621558</v>
      </c>
      <c r="F86" s="426">
        <v>329.92577464900216</v>
      </c>
      <c r="G86" s="426">
        <v>329.43583309640712</v>
      </c>
      <c r="H86" s="426">
        <v>328.96353710586732</v>
      </c>
      <c r="I86" s="426">
        <v>328.50829638269744</v>
      </c>
      <c r="J86" s="426">
        <v>328.06953652161445</v>
      </c>
      <c r="K86" s="379">
        <v>2637.805597810288</v>
      </c>
      <c r="M86" s="343" t="s">
        <v>96</v>
      </c>
      <c r="N86" s="425" t="s">
        <v>86</v>
      </c>
      <c r="O86" s="465">
        <f t="shared" ref="O86:W92" si="21">C28-C86</f>
        <v>1.8975037584323218</v>
      </c>
      <c r="P86" s="466">
        <f t="shared" si="21"/>
        <v>34.715504253083907</v>
      </c>
      <c r="Q86" s="466">
        <f t="shared" si="21"/>
        <v>14.650421933784457</v>
      </c>
      <c r="R86" s="466">
        <f t="shared" si="21"/>
        <v>7.5213253509968467</v>
      </c>
      <c r="S86" s="466">
        <f t="shared" si="21"/>
        <v>-30.325633096406989</v>
      </c>
      <c r="T86" s="466">
        <f t="shared" si="21"/>
        <v>-22.199837105867005</v>
      </c>
      <c r="U86" s="466">
        <f t="shared" si="21"/>
        <v>-12.935496382697806</v>
      </c>
      <c r="V86" s="466">
        <f t="shared" si="21"/>
        <v>21.870613478386815</v>
      </c>
      <c r="W86" s="467">
        <f t="shared" si="21"/>
        <v>15.194402189712036</v>
      </c>
      <c r="Y86" s="343" t="s">
        <v>96</v>
      </c>
      <c r="Z86" s="425" t="s">
        <v>86</v>
      </c>
      <c r="AA86" s="468">
        <f t="shared" ref="AA86:AI92" si="22">(C28-C86)/C86</f>
        <v>5.7238617318813639E-3</v>
      </c>
      <c r="AB86" s="469">
        <f t="shared" si="22"/>
        <v>0.10489302517058427</v>
      </c>
      <c r="AC86" s="469">
        <f t="shared" si="22"/>
        <v>4.4336912513935803E-2</v>
      </c>
      <c r="AD86" s="469">
        <f t="shared" si="22"/>
        <v>2.2797022630312993E-2</v>
      </c>
      <c r="AE86" s="469">
        <f t="shared" si="22"/>
        <v>-9.2053231767087101E-2</v>
      </c>
      <c r="AF86" s="469">
        <f t="shared" si="22"/>
        <v>-6.7484187764927372E-2</v>
      </c>
      <c r="AG86" s="469">
        <f t="shared" si="22"/>
        <v>-3.9376467885695446E-2</v>
      </c>
      <c r="AH86" s="469">
        <f t="shared" si="22"/>
        <v>6.6664566635085604E-2</v>
      </c>
      <c r="AI86" s="470">
        <f t="shared" si="22"/>
        <v>5.7602433637737784E-3</v>
      </c>
    </row>
    <row r="87" spans="1:35">
      <c r="A87" s="343" t="s">
        <v>97</v>
      </c>
      <c r="B87" s="425" t="s">
        <v>86</v>
      </c>
      <c r="C87" s="426">
        <v>30.152814800160328</v>
      </c>
      <c r="D87" s="426">
        <v>29.83192997379204</v>
      </c>
      <c r="E87" s="426">
        <v>28.31672532628177</v>
      </c>
      <c r="F87" s="426">
        <v>28.253342764128831</v>
      </c>
      <c r="G87" s="426">
        <v>32.301666056953486</v>
      </c>
      <c r="H87" s="426">
        <v>30.903978384581475</v>
      </c>
      <c r="I87" s="426">
        <v>28.674622138671086</v>
      </c>
      <c r="J87" s="426">
        <v>28.735118546145696</v>
      </c>
      <c r="K87" s="379">
        <v>237.17019799071471</v>
      </c>
      <c r="M87" s="343" t="s">
        <v>97</v>
      </c>
      <c r="N87" s="425" t="s">
        <v>86</v>
      </c>
      <c r="O87" s="465">
        <f t="shared" si="21"/>
        <v>-8.468114800160329</v>
      </c>
      <c r="P87" s="466">
        <f t="shared" si="21"/>
        <v>-8.3745299737920398</v>
      </c>
      <c r="Q87" s="466">
        <f t="shared" si="21"/>
        <v>-7.452625326281769</v>
      </c>
      <c r="R87" s="466">
        <f t="shared" si="21"/>
        <v>2.6221572358711676</v>
      </c>
      <c r="S87" s="466">
        <f t="shared" si="21"/>
        <v>-2.2466660569534831</v>
      </c>
      <c r="T87" s="466">
        <f t="shared" si="21"/>
        <v>-5.932378384581483</v>
      </c>
      <c r="U87" s="466">
        <f t="shared" si="21"/>
        <v>19.275477861328927</v>
      </c>
      <c r="V87" s="466">
        <f t="shared" si="21"/>
        <v>10.406481453854287</v>
      </c>
      <c r="W87" s="467">
        <f t="shared" si="21"/>
        <v>-0.17019799071471198</v>
      </c>
      <c r="Y87" s="343" t="s">
        <v>97</v>
      </c>
      <c r="Z87" s="425" t="s">
        <v>86</v>
      </c>
      <c r="AA87" s="468">
        <f t="shared" si="22"/>
        <v>-0.28083994334470236</v>
      </c>
      <c r="AB87" s="469">
        <f t="shared" si="22"/>
        <v>-0.28072370715368516</v>
      </c>
      <c r="AC87" s="469">
        <f t="shared" si="22"/>
        <v>-0.26318810668989046</v>
      </c>
      <c r="AD87" s="469">
        <f t="shared" si="22"/>
        <v>9.2808743296751622E-2</v>
      </c>
      <c r="AE87" s="469">
        <f t="shared" si="22"/>
        <v>-6.9552637099034392E-2</v>
      </c>
      <c r="AF87" s="469">
        <f t="shared" si="22"/>
        <v>-0.19196164036735311</v>
      </c>
      <c r="AG87" s="469">
        <f t="shared" si="22"/>
        <v>0.67221384010266305</v>
      </c>
      <c r="AH87" s="469">
        <f t="shared" si="22"/>
        <v>0.36215202791464146</v>
      </c>
      <c r="AI87" s="470">
        <f t="shared" si="22"/>
        <v>-7.1761963415561719E-4</v>
      </c>
    </row>
    <row r="88" spans="1:35">
      <c r="A88" s="343" t="s">
        <v>98</v>
      </c>
      <c r="B88" s="425" t="s">
        <v>86</v>
      </c>
      <c r="C88" s="426">
        <v>0.12355225677373192</v>
      </c>
      <c r="D88" s="426">
        <v>0.12355231916592672</v>
      </c>
      <c r="E88" s="426">
        <v>0.12355237959828858</v>
      </c>
      <c r="F88" s="426">
        <v>0.12355243812629224</v>
      </c>
      <c r="G88" s="426">
        <v>0.12355249480491085</v>
      </c>
      <c r="H88" s="426">
        <v>0.12355254968854955</v>
      </c>
      <c r="I88" s="426">
        <v>0.12355260283098589</v>
      </c>
      <c r="J88" s="426">
        <v>0.12355265428531657</v>
      </c>
      <c r="K88" s="379">
        <v>0.98841969527400231</v>
      </c>
      <c r="M88" s="343" t="s">
        <v>98</v>
      </c>
      <c r="N88" s="425" t="s">
        <v>86</v>
      </c>
      <c r="O88" s="465">
        <f t="shared" si="21"/>
        <v>1.2474477432262681</v>
      </c>
      <c r="P88" s="466">
        <f t="shared" si="21"/>
        <v>1.6173476808340734</v>
      </c>
      <c r="Q88" s="466">
        <f t="shared" si="21"/>
        <v>0.64854762040171143</v>
      </c>
      <c r="R88" s="466">
        <f t="shared" si="21"/>
        <v>0.97784756187370769</v>
      </c>
      <c r="S88" s="466">
        <f t="shared" si="21"/>
        <v>0.85854750519508904</v>
      </c>
      <c r="T88" s="466">
        <f t="shared" si="21"/>
        <v>0.13804745031145044</v>
      </c>
      <c r="U88" s="466">
        <f t="shared" si="21"/>
        <v>-0.12355260283098589</v>
      </c>
      <c r="V88" s="466">
        <f t="shared" si="21"/>
        <v>0.34734734571468373</v>
      </c>
      <c r="W88" s="467">
        <f t="shared" si="21"/>
        <v>5.7115803047259979</v>
      </c>
      <c r="Y88" s="343" t="s">
        <v>98</v>
      </c>
      <c r="Z88" s="425" t="s">
        <v>86</v>
      </c>
      <c r="AA88" s="468">
        <f t="shared" si="22"/>
        <v>10.096519285040564</v>
      </c>
      <c r="AB88" s="469">
        <f t="shared" si="22"/>
        <v>13.090387066405677</v>
      </c>
      <c r="AC88" s="469">
        <f t="shared" si="22"/>
        <v>5.2491714243818173</v>
      </c>
      <c r="AD88" s="469">
        <f t="shared" si="22"/>
        <v>7.914433553097318</v>
      </c>
      <c r="AE88" s="469">
        <f t="shared" si="22"/>
        <v>6.9488479900849747</v>
      </c>
      <c r="AF88" s="469">
        <f t="shared" si="22"/>
        <v>1.1173176972829741</v>
      </c>
      <c r="AG88" s="469">
        <f t="shared" si="22"/>
        <v>-1</v>
      </c>
      <c r="AH88" s="469">
        <f t="shared" si="22"/>
        <v>2.8113305029656792</v>
      </c>
      <c r="AI88" s="470">
        <f t="shared" si="22"/>
        <v>5.7784970615571112</v>
      </c>
    </row>
    <row r="89" spans="1:35">
      <c r="A89" s="343" t="s">
        <v>99</v>
      </c>
      <c r="B89" s="425" t="s">
        <v>86</v>
      </c>
      <c r="C89" s="426">
        <v>71.623745877842367</v>
      </c>
      <c r="D89" s="426">
        <v>71.54428458762456</v>
      </c>
      <c r="E89" s="426">
        <v>71.467546508197131</v>
      </c>
      <c r="F89" s="426">
        <v>71.393439250667527</v>
      </c>
      <c r="G89" s="426">
        <v>71.321872678006898</v>
      </c>
      <c r="H89" s="426">
        <v>71.252758895809436</v>
      </c>
      <c r="I89" s="426">
        <v>71.186012238301146</v>
      </c>
      <c r="J89" s="426">
        <v>71.121549250035784</v>
      </c>
      <c r="K89" s="379">
        <v>570.9112092864849</v>
      </c>
      <c r="M89" s="343" t="s">
        <v>99</v>
      </c>
      <c r="N89" s="425" t="s">
        <v>86</v>
      </c>
      <c r="O89" s="465">
        <f t="shared" si="21"/>
        <v>-6.7836158778423652</v>
      </c>
      <c r="P89" s="466">
        <f t="shared" si="21"/>
        <v>-4.7919545876245877</v>
      </c>
      <c r="Q89" s="466">
        <f t="shared" si="21"/>
        <v>28.87175349180292</v>
      </c>
      <c r="R89" s="466">
        <f t="shared" si="21"/>
        <v>13.250760749332443</v>
      </c>
      <c r="S89" s="466">
        <f t="shared" si="21"/>
        <v>-1.4274326780068947</v>
      </c>
      <c r="T89" s="466">
        <f t="shared" si="21"/>
        <v>-9.2407588958094209</v>
      </c>
      <c r="U89" s="466">
        <f t="shared" si="21"/>
        <v>-11.783812238301074</v>
      </c>
      <c r="V89" s="466">
        <f t="shared" si="21"/>
        <v>-8.0061492500357616</v>
      </c>
      <c r="W89" s="467">
        <f t="shared" si="21"/>
        <v>8.8790713515095376E-2</v>
      </c>
      <c r="Y89" s="343" t="s">
        <v>99</v>
      </c>
      <c r="Z89" s="425" t="s">
        <v>86</v>
      </c>
      <c r="AA89" s="468">
        <f t="shared" si="22"/>
        <v>-9.4711827686478983E-2</v>
      </c>
      <c r="AB89" s="469">
        <f t="shared" si="22"/>
        <v>-6.6978859530779075E-2</v>
      </c>
      <c r="AC89" s="469">
        <f t="shared" si="22"/>
        <v>0.40398411450281718</v>
      </c>
      <c r="AD89" s="469">
        <f t="shared" si="22"/>
        <v>0.18560193889536633</v>
      </c>
      <c r="AE89" s="469">
        <f t="shared" si="22"/>
        <v>-2.0013953986475506E-2</v>
      </c>
      <c r="AF89" s="469">
        <f t="shared" si="22"/>
        <v>-0.12968983993057559</v>
      </c>
      <c r="AG89" s="469">
        <f t="shared" si="22"/>
        <v>-0.16553550153720895</v>
      </c>
      <c r="AH89" s="469">
        <f t="shared" si="22"/>
        <v>-0.11256995009893901</v>
      </c>
      <c r="AI89" s="470">
        <f t="shared" si="22"/>
        <v>1.5552455805879954E-4</v>
      </c>
    </row>
    <row r="90" spans="1:35">
      <c r="A90" s="343" t="s">
        <v>100</v>
      </c>
      <c r="B90" s="425" t="s">
        <v>86</v>
      </c>
      <c r="C90" s="426">
        <v>7.2312670117771631</v>
      </c>
      <c r="D90" s="426">
        <v>7.1442703710807489</v>
      </c>
      <c r="E90" s="426">
        <v>6.994273624863542</v>
      </c>
      <c r="F90" s="426">
        <v>7.0122767761124001</v>
      </c>
      <c r="G90" s="426">
        <v>6.8162798277871701</v>
      </c>
      <c r="H90" s="426">
        <v>6.7862827828171213</v>
      </c>
      <c r="I90" s="426">
        <v>6.8002856440977277</v>
      </c>
      <c r="J90" s="426">
        <v>6.8572884144878081</v>
      </c>
      <c r="K90" s="379">
        <v>55.642224453023687</v>
      </c>
      <c r="M90" s="343" t="s">
        <v>100</v>
      </c>
      <c r="N90" s="425" t="s">
        <v>86</v>
      </c>
      <c r="O90" s="465">
        <f t="shared" si="21"/>
        <v>21.233732988222833</v>
      </c>
      <c r="P90" s="466">
        <f t="shared" si="21"/>
        <v>18.196159628919254</v>
      </c>
      <c r="Q90" s="466">
        <f t="shared" si="21"/>
        <v>1.8726563751364562</v>
      </c>
      <c r="R90" s="466">
        <f t="shared" si="21"/>
        <v>10.112623223887592</v>
      </c>
      <c r="S90" s="466">
        <f t="shared" si="21"/>
        <v>10.79052017221283</v>
      </c>
      <c r="T90" s="466">
        <f t="shared" si="21"/>
        <v>8.4556472171828752</v>
      </c>
      <c r="U90" s="466">
        <f t="shared" si="21"/>
        <v>12.314714355902272</v>
      </c>
      <c r="V90" s="466">
        <f t="shared" si="21"/>
        <v>11.881721585512199</v>
      </c>
      <c r="W90" s="467">
        <f t="shared" si="21"/>
        <v>94.857775546976313</v>
      </c>
      <c r="Y90" s="343" t="s">
        <v>100</v>
      </c>
      <c r="Z90" s="425" t="s">
        <v>86</v>
      </c>
      <c r="AA90" s="468">
        <f t="shared" si="22"/>
        <v>2.9363779478258278</v>
      </c>
      <c r="AB90" s="469">
        <f t="shared" si="22"/>
        <v>2.5469584273539514</v>
      </c>
      <c r="AC90" s="469">
        <f t="shared" si="22"/>
        <v>0.26774136609117744</v>
      </c>
      <c r="AD90" s="469">
        <f t="shared" si="22"/>
        <v>1.442131214548839</v>
      </c>
      <c r="AE90" s="469">
        <f t="shared" si="22"/>
        <v>1.5830512309991025</v>
      </c>
      <c r="AF90" s="469">
        <f t="shared" si="22"/>
        <v>1.2459909920925469</v>
      </c>
      <c r="AG90" s="469">
        <f t="shared" si="22"/>
        <v>1.8109113352599775</v>
      </c>
      <c r="AH90" s="469">
        <f t="shared" si="22"/>
        <v>1.7327142840322958</v>
      </c>
      <c r="AI90" s="470">
        <f t="shared" si="22"/>
        <v>1.7047804339141872</v>
      </c>
    </row>
    <row r="91" spans="1:35" ht="13.5">
      <c r="A91" s="343" t="s">
        <v>101</v>
      </c>
      <c r="B91" s="439" t="s">
        <v>81</v>
      </c>
      <c r="C91" s="410">
        <v>16553.678731448545</v>
      </c>
      <c r="D91" s="410">
        <v>16530.022260965408</v>
      </c>
      <c r="E91" s="410">
        <v>16538.732990460023</v>
      </c>
      <c r="F91" s="410">
        <v>16501.034041039969</v>
      </c>
      <c r="G91" s="410">
        <v>16536.06757423931</v>
      </c>
      <c r="H91" s="410">
        <v>16476.731952856389</v>
      </c>
      <c r="I91" s="410">
        <v>16474.111302001242</v>
      </c>
      <c r="J91" s="410">
        <v>16492.103869446761</v>
      </c>
      <c r="K91" s="379">
        <v>132102.48272245764</v>
      </c>
      <c r="M91" s="343" t="s">
        <v>101</v>
      </c>
      <c r="N91" s="439" t="s">
        <v>81</v>
      </c>
      <c r="O91" s="451">
        <f t="shared" si="21"/>
        <v>3196.3212685514554</v>
      </c>
      <c r="P91" s="452">
        <f t="shared" si="21"/>
        <v>3830.9777390345917</v>
      </c>
      <c r="Q91" s="452">
        <f t="shared" si="21"/>
        <v>769.26700953997715</v>
      </c>
      <c r="R91" s="452">
        <f t="shared" si="21"/>
        <v>852.96595896003055</v>
      </c>
      <c r="S91" s="452">
        <f t="shared" si="21"/>
        <v>-2493.0675742393105</v>
      </c>
      <c r="T91" s="452">
        <f t="shared" si="21"/>
        <v>-3542.7319528563894</v>
      </c>
      <c r="U91" s="452">
        <f t="shared" si="21"/>
        <v>-2866.1113020012417</v>
      </c>
      <c r="V91" s="452">
        <f t="shared" si="21"/>
        <v>-2631.1038694467607</v>
      </c>
      <c r="W91" s="467">
        <f t="shared" si="21"/>
        <v>-2883.4827224576438</v>
      </c>
      <c r="Y91" s="343" t="s">
        <v>101</v>
      </c>
      <c r="Z91" s="439" t="s">
        <v>81</v>
      </c>
      <c r="AA91" s="454">
        <f t="shared" si="22"/>
        <v>0.19308827484244395</v>
      </c>
      <c r="AB91" s="455">
        <f t="shared" si="22"/>
        <v>0.23175877676106951</v>
      </c>
      <c r="AC91" s="455">
        <f t="shared" si="22"/>
        <v>4.6513055745183787E-2</v>
      </c>
      <c r="AD91" s="455">
        <f t="shared" si="22"/>
        <v>5.1691667130593519E-2</v>
      </c>
      <c r="AE91" s="455">
        <f t="shared" si="22"/>
        <v>-0.15076544426578978</v>
      </c>
      <c r="AF91" s="455">
        <f t="shared" si="22"/>
        <v>-0.2150142372281674</v>
      </c>
      <c r="AG91" s="455">
        <f t="shared" si="22"/>
        <v>-0.17397668678207073</v>
      </c>
      <c r="AH91" s="455">
        <f t="shared" si="22"/>
        <v>-0.15953718763081154</v>
      </c>
      <c r="AI91" s="470">
        <f t="shared" si="22"/>
        <v>-2.1827619459020561E-2</v>
      </c>
    </row>
    <row r="92" spans="1:35" ht="13.5">
      <c r="A92" s="390" t="s">
        <v>102</v>
      </c>
      <c r="B92" s="439" t="s">
        <v>81</v>
      </c>
      <c r="C92" s="410">
        <v>26440.201360400406</v>
      </c>
      <c r="D92" s="410">
        <v>26524.132380574902</v>
      </c>
      <c r="E92" s="410">
        <v>26653.347014116334</v>
      </c>
      <c r="F92" s="410">
        <v>26651.512723018688</v>
      </c>
      <c r="G92" s="410">
        <v>26389.437192300291</v>
      </c>
      <c r="H92" s="410">
        <v>26092.575496420599</v>
      </c>
      <c r="I92" s="410">
        <v>25806.450177540199</v>
      </c>
      <c r="J92" s="410">
        <v>25771.796618917047</v>
      </c>
      <c r="K92" s="379">
        <v>210329.4529632885</v>
      </c>
      <c r="M92" s="390" t="s">
        <v>102</v>
      </c>
      <c r="N92" s="439" t="s">
        <v>81</v>
      </c>
      <c r="O92" s="451">
        <f t="shared" si="21"/>
        <v>-3589.201360400406</v>
      </c>
      <c r="P92" s="452">
        <f t="shared" si="21"/>
        <v>-2754.1323805749016</v>
      </c>
      <c r="Q92" s="452">
        <f t="shared" si="21"/>
        <v>-5011.3470141163343</v>
      </c>
      <c r="R92" s="452">
        <f t="shared" si="21"/>
        <v>-3383.5127230186881</v>
      </c>
      <c r="S92" s="452">
        <f t="shared" si="21"/>
        <v>-8306.4371923002909</v>
      </c>
      <c r="T92" s="452">
        <f t="shared" si="21"/>
        <v>-8946.5754964205989</v>
      </c>
      <c r="U92" s="452">
        <f t="shared" si="21"/>
        <v>-9106.4501775401986</v>
      </c>
      <c r="V92" s="452">
        <f t="shared" si="21"/>
        <v>-9251.7966189170475</v>
      </c>
      <c r="W92" s="467">
        <f t="shared" si="21"/>
        <v>-50349.452963288495</v>
      </c>
      <c r="Y92" s="390" t="s">
        <v>102</v>
      </c>
      <c r="Z92" s="439" t="s">
        <v>81</v>
      </c>
      <c r="AA92" s="454">
        <f t="shared" si="22"/>
        <v>-0.1357478829860943</v>
      </c>
      <c r="AB92" s="455">
        <f t="shared" si="22"/>
        <v>-0.1038349658740169</v>
      </c>
      <c r="AC92" s="455">
        <f t="shared" si="22"/>
        <v>-0.18801942628301763</v>
      </c>
      <c r="AD92" s="455">
        <f t="shared" si="22"/>
        <v>-0.12695387155628043</v>
      </c>
      <c r="AE92" s="455">
        <f t="shared" si="22"/>
        <v>-0.31476371139600812</v>
      </c>
      <c r="AF92" s="455">
        <f t="shared" si="22"/>
        <v>-0.34287820677755237</v>
      </c>
      <c r="AG92" s="455">
        <f t="shared" si="22"/>
        <v>-0.35287496400670015</v>
      </c>
      <c r="AH92" s="455">
        <f t="shared" si="22"/>
        <v>-0.35898919876335017</v>
      </c>
      <c r="AI92" s="470">
        <f t="shared" si="22"/>
        <v>-0.23938374894207817</v>
      </c>
    </row>
    <row r="93" spans="1:35">
      <c r="C93" s="444"/>
      <c r="D93" s="444"/>
      <c r="E93" s="481"/>
      <c r="F93" s="444"/>
      <c r="G93" s="444"/>
      <c r="H93" s="444"/>
      <c r="I93" s="444"/>
      <c r="J93" s="444"/>
      <c r="K93" s="444"/>
    </row>
  </sheetData>
  <mergeCells count="20">
    <mergeCell ref="C68:K68"/>
    <mergeCell ref="O67:T68"/>
    <mergeCell ref="U67:V68"/>
    <mergeCell ref="W67:W69"/>
    <mergeCell ref="AA67:AF68"/>
    <mergeCell ref="AG67:AH68"/>
    <mergeCell ref="AI67:AI69"/>
    <mergeCell ref="O38:T39"/>
    <mergeCell ref="U38:V39"/>
    <mergeCell ref="W38:W40"/>
    <mergeCell ref="AA38:AF39"/>
    <mergeCell ref="AG38:AH39"/>
    <mergeCell ref="AI38:AI40"/>
    <mergeCell ref="C9:H10"/>
    <mergeCell ref="I9:I10"/>
    <mergeCell ref="J9:J10"/>
    <mergeCell ref="K9:K11"/>
    <mergeCell ref="C38:H39"/>
    <mergeCell ref="I38:J39"/>
    <mergeCell ref="K38:K40"/>
  </mergeCells>
  <dataValidations count="1">
    <dataValidation type="list" allowBlank="1" showInputMessage="1" showErrorMessage="1" sqref="B1" xr:uid="{A8B86DDA-C47F-4D1E-8543-D5284425E112}">
      <formula1>B927:B932</formula1>
    </dataValidation>
  </dataValidations>
  <pageMargins left="0.70866141732283472" right="0.70866141732283472" top="0.74803149606299213" bottom="0.74803149606299213" header="0.31496062992125984" footer="0.31496062992125984"/>
  <pageSetup paperSize="8" scale="40" orientation="landscape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BBDCB-7639-4215-8145-A608967A66EB}">
  <sheetPr codeName="Sheet9">
    <tabColor theme="0" tint="-0.14999847407452621"/>
    <pageSetUpPr fitToPage="1"/>
  </sheetPr>
  <dimension ref="A1:AC83"/>
  <sheetViews>
    <sheetView zoomScale="70" zoomScaleNormal="70" workbookViewId="0">
      <selection activeCell="C235" sqref="C235"/>
    </sheetView>
  </sheetViews>
  <sheetFormatPr defaultRowHeight="12.75"/>
  <cols>
    <col min="1" max="1" width="65.265625" customWidth="1"/>
    <col min="2" max="9" width="15" customWidth="1"/>
    <col min="11" max="11" width="30.3984375" customWidth="1"/>
    <col min="12" max="14" width="13.265625" bestFit="1" customWidth="1"/>
    <col min="15" max="15" width="15.265625" customWidth="1"/>
    <col min="16" max="19" width="13.265625" bestFit="1" customWidth="1"/>
    <col min="21" max="21" width="31" customWidth="1"/>
    <col min="22" max="22" width="12.73046875" customWidth="1"/>
    <col min="23" max="29" width="11.265625" customWidth="1"/>
  </cols>
  <sheetData>
    <row r="1" spans="1:29" s="3" customFormat="1" ht="25.15">
      <c r="A1" s="1" t="str">
        <f>+'[1]Universal data'!$A$1</f>
        <v>Regulatory Reporting Pack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s="3" customFormat="1" ht="25.15">
      <c r="A2" s="1" t="str">
        <f>+'[1]Universal data'!$A$2</f>
        <v>Wales &amp; West Utilities PLC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s="3" customFormat="1" ht="25.15">
      <c r="A3" s="1" t="str">
        <f>+'[1]Universal data'!$A$3</f>
        <v>2019/20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s="5" customFormat="1" ht="12.4">
      <c r="D4" s="6"/>
      <c r="O4" s="6"/>
    </row>
    <row r="5" spans="1:29" s="5" customFormat="1" ht="14.65">
      <c r="A5" s="482" t="s">
        <v>111</v>
      </c>
      <c r="D5" s="6"/>
      <c r="O5" s="6"/>
    </row>
    <row r="6" spans="1:29" s="5" customFormat="1" ht="12.4">
      <c r="D6" s="6"/>
      <c r="O6" s="6"/>
    </row>
    <row r="7" spans="1:29" s="5" customFormat="1" ht="15.4">
      <c r="A7" s="6" t="s">
        <v>112</v>
      </c>
      <c r="D7" s="6"/>
      <c r="F7" s="483"/>
      <c r="O7" s="6"/>
    </row>
    <row r="8" spans="1:29" s="5" customFormat="1" ht="12.4">
      <c r="D8" s="6"/>
      <c r="O8" s="6"/>
    </row>
    <row r="9" spans="1:29" s="5" customFormat="1" ht="12.75" customHeight="1">
      <c r="A9" s="8"/>
      <c r="B9" s="318" t="s">
        <v>2</v>
      </c>
      <c r="C9" s="319"/>
      <c r="D9" s="319"/>
      <c r="E9" s="319"/>
      <c r="F9" s="319"/>
      <c r="G9" s="320"/>
      <c r="H9" s="321" t="s">
        <v>3</v>
      </c>
      <c r="I9" s="322" t="s">
        <v>4</v>
      </c>
      <c r="O9" s="6"/>
    </row>
    <row r="10" spans="1:29" s="5" customFormat="1" ht="12.4">
      <c r="A10" s="484"/>
      <c r="B10" s="325"/>
      <c r="C10" s="326"/>
      <c r="D10" s="326"/>
      <c r="E10" s="326"/>
      <c r="F10" s="326"/>
      <c r="G10" s="327"/>
      <c r="H10" s="328"/>
      <c r="I10" s="329"/>
      <c r="O10" s="6"/>
    </row>
    <row r="11" spans="1:29" s="5" customFormat="1" ht="12.4">
      <c r="A11" s="485"/>
      <c r="B11" s="332">
        <v>2014</v>
      </c>
      <c r="C11" s="333">
        <v>2015</v>
      </c>
      <c r="D11" s="333">
        <v>2016</v>
      </c>
      <c r="E11" s="333">
        <v>2017</v>
      </c>
      <c r="F11" s="333">
        <v>2018</v>
      </c>
      <c r="G11" s="333">
        <v>2019</v>
      </c>
      <c r="H11" s="333">
        <v>2020</v>
      </c>
      <c r="I11" s="333">
        <v>2021</v>
      </c>
      <c r="O11" s="6"/>
    </row>
    <row r="12" spans="1:29" s="5" customFormat="1" ht="12.4">
      <c r="A12" s="486" t="s">
        <v>113</v>
      </c>
      <c r="B12" s="379">
        <f t="shared" ref="B12:G13" si="0">+B22</f>
        <v>197562.9</v>
      </c>
      <c r="C12" s="379">
        <f t="shared" si="0"/>
        <v>172591.9</v>
      </c>
      <c r="D12" s="379">
        <f t="shared" si="0"/>
        <v>148530.9</v>
      </c>
      <c r="E12" s="379">
        <f>D14</f>
        <v>131807.33562716411</v>
      </c>
      <c r="F12" s="379">
        <f>E14</f>
        <v>118736.05514150417</v>
      </c>
      <c r="G12" s="379">
        <f>F14</f>
        <v>108419.05514150417</v>
      </c>
      <c r="H12" s="379">
        <f t="shared" ref="H12:I12" si="1">G14</f>
        <v>99887.845545316508</v>
      </c>
      <c r="I12" s="379">
        <f t="shared" si="1"/>
        <v>91422.843410857007</v>
      </c>
      <c r="O12" s="6"/>
    </row>
    <row r="13" spans="1:29" s="5" customFormat="1" ht="12.4">
      <c r="A13" s="486" t="s">
        <v>114</v>
      </c>
      <c r="B13" s="379">
        <f t="shared" si="0"/>
        <v>24971</v>
      </c>
      <c r="C13" s="379">
        <f t="shared" si="0"/>
        <v>24061</v>
      </c>
      <c r="D13" s="379">
        <f t="shared" si="0"/>
        <v>16723.564372835899</v>
      </c>
      <c r="E13" s="379">
        <f t="shared" si="0"/>
        <v>13071.280485659934</v>
      </c>
      <c r="F13" s="379">
        <f>+F23</f>
        <v>10317</v>
      </c>
      <c r="G13" s="379">
        <f t="shared" si="0"/>
        <v>8531.2095961876621</v>
      </c>
      <c r="H13" s="378">
        <v>8465.002134459497</v>
      </c>
      <c r="I13" s="378">
        <v>3594.997865540503</v>
      </c>
      <c r="O13" s="6"/>
    </row>
    <row r="14" spans="1:29" s="5" customFormat="1" ht="12.4">
      <c r="A14" s="486" t="s">
        <v>115</v>
      </c>
      <c r="B14" s="379">
        <f>B12-B13</f>
        <v>172591.9</v>
      </c>
      <c r="C14" s="379">
        <f>C12-C13</f>
        <v>148530.9</v>
      </c>
      <c r="D14" s="379">
        <f>D12-D13</f>
        <v>131807.33562716411</v>
      </c>
      <c r="E14" s="379">
        <f>E12-E13</f>
        <v>118736.05514150417</v>
      </c>
      <c r="F14" s="379">
        <f t="shared" ref="F14:I14" si="2">F12-F13</f>
        <v>108419.05514150417</v>
      </c>
      <c r="G14" s="379">
        <f t="shared" si="2"/>
        <v>99887.845545316508</v>
      </c>
      <c r="H14" s="379">
        <f t="shared" si="2"/>
        <v>91422.843410857007</v>
      </c>
      <c r="I14" s="379">
        <f t="shared" si="2"/>
        <v>87827.845545316508</v>
      </c>
      <c r="O14" s="6"/>
    </row>
    <row r="15" spans="1:29">
      <c r="A15" s="486" t="s">
        <v>116</v>
      </c>
      <c r="B15" s="379">
        <f>B13</f>
        <v>24971</v>
      </c>
      <c r="C15" s="379">
        <f>C13+B15</f>
        <v>49032</v>
      </c>
      <c r="D15" s="379">
        <f>D13+C15</f>
        <v>65755.564372835899</v>
      </c>
      <c r="E15" s="379">
        <f t="shared" ref="E15:I15" si="3">D15+E13</f>
        <v>78826.844858495839</v>
      </c>
      <c r="F15" s="379">
        <f t="shared" si="3"/>
        <v>89143.844858495839</v>
      </c>
      <c r="G15" s="379">
        <f t="shared" si="3"/>
        <v>97675.054454683501</v>
      </c>
      <c r="H15" s="379">
        <f t="shared" si="3"/>
        <v>106140.056589143</v>
      </c>
      <c r="I15" s="379">
        <f t="shared" si="3"/>
        <v>109735.0544546835</v>
      </c>
    </row>
    <row r="16" spans="1:29">
      <c r="A16" s="487"/>
    </row>
    <row r="17" spans="1:29" s="5" customFormat="1" ht="27.75">
      <c r="A17" s="488" t="s">
        <v>117</v>
      </c>
      <c r="D17" s="6"/>
      <c r="F17" s="483"/>
      <c r="K17" s="6" t="s">
        <v>48</v>
      </c>
      <c r="N17" s="6"/>
      <c r="P17" s="483"/>
      <c r="U17" s="6" t="s">
        <v>49</v>
      </c>
      <c r="X17" s="6"/>
      <c r="Z17" s="483"/>
    </row>
    <row r="18" spans="1:29" s="5" customFormat="1" ht="12.4">
      <c r="A18" s="489"/>
      <c r="D18" s="6"/>
      <c r="N18" s="6"/>
      <c r="X18" s="6"/>
    </row>
    <row r="19" spans="1:29" s="5" customFormat="1" ht="12.75" customHeight="1">
      <c r="A19" s="490"/>
      <c r="B19" s="491" t="s">
        <v>2</v>
      </c>
      <c r="C19" s="491"/>
      <c r="D19" s="491"/>
      <c r="E19" s="491"/>
      <c r="F19" s="491"/>
      <c r="G19" s="492"/>
      <c r="H19" s="391" t="s">
        <v>118</v>
      </c>
      <c r="I19" s="394"/>
      <c r="K19" s="8"/>
      <c r="L19" s="318" t="s">
        <v>2</v>
      </c>
      <c r="M19" s="319"/>
      <c r="N19" s="319"/>
      <c r="O19" s="319"/>
      <c r="P19" s="319"/>
      <c r="Q19" s="319"/>
      <c r="R19" s="319"/>
      <c r="S19" s="321" t="s">
        <v>4</v>
      </c>
      <c r="U19" s="8"/>
      <c r="V19" s="318" t="s">
        <v>2</v>
      </c>
      <c r="W19" s="319"/>
      <c r="X19" s="319"/>
      <c r="Y19" s="319"/>
      <c r="Z19" s="319"/>
      <c r="AA19" s="319"/>
      <c r="AB19" s="319"/>
      <c r="AC19" s="321" t="s">
        <v>4</v>
      </c>
    </row>
    <row r="20" spans="1:29" s="5" customFormat="1" ht="12.4">
      <c r="A20" s="484"/>
      <c r="B20" s="491"/>
      <c r="C20" s="491"/>
      <c r="D20" s="491"/>
      <c r="E20" s="491"/>
      <c r="F20" s="491"/>
      <c r="G20" s="493"/>
      <c r="H20" s="395"/>
      <c r="I20" s="399"/>
      <c r="K20" s="14"/>
      <c r="L20" s="325"/>
      <c r="M20" s="326"/>
      <c r="N20" s="326"/>
      <c r="O20" s="326"/>
      <c r="P20" s="326"/>
      <c r="Q20" s="326"/>
      <c r="R20" s="326"/>
      <c r="S20" s="328"/>
      <c r="U20" s="14"/>
      <c r="V20" s="325"/>
      <c r="W20" s="326"/>
      <c r="X20" s="326"/>
      <c r="Y20" s="326"/>
      <c r="Z20" s="326"/>
      <c r="AA20" s="326"/>
      <c r="AB20" s="326"/>
      <c r="AC20" s="328"/>
    </row>
    <row r="21" spans="1:29" s="5" customFormat="1" ht="12.4">
      <c r="A21" s="485"/>
      <c r="B21" s="332">
        <v>2014</v>
      </c>
      <c r="C21" s="401">
        <v>2015</v>
      </c>
      <c r="D21" s="401">
        <v>2016</v>
      </c>
      <c r="E21" s="402">
        <v>2017</v>
      </c>
      <c r="F21" s="401">
        <v>2018</v>
      </c>
      <c r="G21" s="402">
        <v>2019</v>
      </c>
      <c r="H21" s="401">
        <v>2020</v>
      </c>
      <c r="I21" s="403">
        <v>2021</v>
      </c>
      <c r="K21" s="21"/>
      <c r="L21" s="332">
        <v>2014</v>
      </c>
      <c r="M21" s="401">
        <v>2015</v>
      </c>
      <c r="N21" s="401">
        <v>2016</v>
      </c>
      <c r="O21" s="402">
        <v>2017</v>
      </c>
      <c r="P21" s="401">
        <v>2018</v>
      </c>
      <c r="Q21" s="402">
        <v>2019</v>
      </c>
      <c r="R21" s="401">
        <v>2020</v>
      </c>
      <c r="S21" s="403">
        <v>2021</v>
      </c>
      <c r="U21" s="21"/>
      <c r="V21" s="332">
        <v>2014</v>
      </c>
      <c r="W21" s="401">
        <v>2015</v>
      </c>
      <c r="X21" s="401">
        <v>2016</v>
      </c>
      <c r="Y21" s="402">
        <v>2017</v>
      </c>
      <c r="Z21" s="401">
        <v>2018</v>
      </c>
      <c r="AA21" s="402">
        <v>2019</v>
      </c>
      <c r="AB21" s="401">
        <v>2020</v>
      </c>
      <c r="AC21" s="403">
        <v>2021</v>
      </c>
    </row>
    <row r="22" spans="1:29" s="5" customFormat="1" ht="12.4">
      <c r="A22" s="486" t="s">
        <v>113</v>
      </c>
      <c r="B22" s="379">
        <v>197562.9</v>
      </c>
      <c r="C22" s="379">
        <v>172591.9</v>
      </c>
      <c r="D22" s="379">
        <v>148530.9</v>
      </c>
      <c r="E22" s="379">
        <v>131807.33562716411</v>
      </c>
      <c r="F22" s="379">
        <v>118736.05514150417</v>
      </c>
      <c r="G22" s="379">
        <v>108419.05514150417</v>
      </c>
      <c r="H22" s="379">
        <v>99887.845545316508</v>
      </c>
      <c r="I22" s="379">
        <v>95185.05514150417</v>
      </c>
      <c r="K22" s="494"/>
      <c r="L22" s="379"/>
      <c r="M22" s="379"/>
      <c r="N22" s="379"/>
      <c r="O22" s="379"/>
      <c r="P22" s="379"/>
      <c r="Q22" s="379"/>
      <c r="R22" s="379"/>
      <c r="S22" s="379"/>
      <c r="U22" s="494"/>
      <c r="V22" s="379"/>
      <c r="W22" s="379"/>
      <c r="X22" s="379"/>
      <c r="Y22" s="379"/>
      <c r="Z22" s="379"/>
      <c r="AA22" s="379"/>
      <c r="AB22" s="379"/>
      <c r="AC22" s="379"/>
    </row>
    <row r="23" spans="1:29" s="5" customFormat="1" ht="12.4">
      <c r="A23" s="486" t="s">
        <v>114</v>
      </c>
      <c r="B23" s="379">
        <v>24971</v>
      </c>
      <c r="C23" s="379">
        <v>24061</v>
      </c>
      <c r="D23" s="379">
        <v>16723.564372835899</v>
      </c>
      <c r="E23" s="379">
        <v>13071.280485659934</v>
      </c>
      <c r="F23" s="379">
        <v>10317</v>
      </c>
      <c r="G23" s="379">
        <v>8531.2095961876621</v>
      </c>
      <c r="H23" s="379">
        <v>4702.7904038123379</v>
      </c>
      <c r="I23" s="379">
        <v>2122</v>
      </c>
      <c r="K23" s="494" t="s">
        <v>114</v>
      </c>
      <c r="L23" s="379">
        <f t="shared" ref="L23:S23" si="4">B13-B23</f>
        <v>0</v>
      </c>
      <c r="M23" s="379">
        <f t="shared" si="4"/>
        <v>0</v>
      </c>
      <c r="N23" s="379">
        <f t="shared" si="4"/>
        <v>0</v>
      </c>
      <c r="O23" s="379">
        <f t="shared" si="4"/>
        <v>0</v>
      </c>
      <c r="P23" s="379">
        <f t="shared" si="4"/>
        <v>0</v>
      </c>
      <c r="Q23" s="379">
        <f t="shared" si="4"/>
        <v>0</v>
      </c>
      <c r="R23" s="379">
        <f>H13-H23</f>
        <v>3762.2117306471591</v>
      </c>
      <c r="S23" s="379">
        <f t="shared" si="4"/>
        <v>1472.997865540503</v>
      </c>
      <c r="U23" s="494" t="s">
        <v>114</v>
      </c>
      <c r="V23" s="495">
        <f>(B13-B23)/B23</f>
        <v>0</v>
      </c>
      <c r="W23" s="496">
        <f t="shared" ref="W23:AB23" si="5">(C13-C23)/C23</f>
        <v>0</v>
      </c>
      <c r="X23" s="496">
        <f t="shared" si="5"/>
        <v>0</v>
      </c>
      <c r="Y23" s="496">
        <f t="shared" si="5"/>
        <v>0</v>
      </c>
      <c r="Z23" s="496">
        <f t="shared" si="5"/>
        <v>0</v>
      </c>
      <c r="AA23" s="496">
        <f t="shared" si="5"/>
        <v>0</v>
      </c>
      <c r="AB23" s="496">
        <f t="shared" si="5"/>
        <v>0.7999956212374052</v>
      </c>
      <c r="AC23" s="495">
        <f>(I13-I23)/I23</f>
        <v>0.69415545030183934</v>
      </c>
    </row>
    <row r="24" spans="1:29" s="5" customFormat="1" ht="12.4">
      <c r="A24" s="486" t="s">
        <v>115</v>
      </c>
      <c r="B24" s="379">
        <f>B22-B23</f>
        <v>172591.9</v>
      </c>
      <c r="C24" s="379">
        <f t="shared" ref="C24:I24" si="6">C22-C23</f>
        <v>148530.9</v>
      </c>
      <c r="D24" s="379">
        <f t="shared" si="6"/>
        <v>131807.33562716411</v>
      </c>
      <c r="E24" s="379">
        <f t="shared" si="6"/>
        <v>118736.05514150417</v>
      </c>
      <c r="F24" s="379">
        <f t="shared" si="6"/>
        <v>108419.05514150417</v>
      </c>
      <c r="G24" s="379">
        <f t="shared" si="6"/>
        <v>99887.845545316508</v>
      </c>
      <c r="H24" s="379">
        <f t="shared" si="6"/>
        <v>95185.05514150417</v>
      </c>
      <c r="I24" s="379">
        <f t="shared" si="6"/>
        <v>93063.05514150417</v>
      </c>
      <c r="K24" s="494"/>
      <c r="L24" s="379"/>
      <c r="M24" s="379"/>
      <c r="N24" s="379"/>
      <c r="O24" s="379"/>
      <c r="P24" s="379"/>
      <c r="Q24" s="379"/>
      <c r="R24" s="379"/>
      <c r="S24" s="379"/>
      <c r="U24" s="494"/>
      <c r="V24" s="379"/>
      <c r="W24" s="379"/>
      <c r="X24" s="379"/>
      <c r="Y24" s="379"/>
      <c r="Z24" s="379"/>
      <c r="AA24" s="379"/>
      <c r="AB24" s="379"/>
      <c r="AC24" s="379"/>
    </row>
    <row r="25" spans="1:29">
      <c r="A25" s="486" t="s">
        <v>116</v>
      </c>
      <c r="B25" s="379">
        <f>B23</f>
        <v>24971</v>
      </c>
      <c r="C25" s="379">
        <f>B25+C23</f>
        <v>49032</v>
      </c>
      <c r="D25" s="379">
        <f t="shared" ref="D25:I25" si="7">C25+D23</f>
        <v>65755.564372835899</v>
      </c>
      <c r="E25" s="379">
        <f t="shared" si="7"/>
        <v>78826.844858495839</v>
      </c>
      <c r="F25" s="379">
        <f t="shared" si="7"/>
        <v>89143.844858495839</v>
      </c>
      <c r="G25" s="379">
        <f t="shared" si="7"/>
        <v>97675.054454683501</v>
      </c>
      <c r="H25" s="379">
        <f t="shared" si="7"/>
        <v>102377.84485849584</v>
      </c>
      <c r="I25" s="379">
        <f t="shared" si="7"/>
        <v>104499.84485849584</v>
      </c>
      <c r="K25" s="494" t="s">
        <v>116</v>
      </c>
      <c r="L25" s="379">
        <f t="shared" ref="L25:S25" si="8">B15-B25</f>
        <v>0</v>
      </c>
      <c r="M25" s="379">
        <f t="shared" si="8"/>
        <v>0</v>
      </c>
      <c r="N25" s="379">
        <f t="shared" si="8"/>
        <v>0</v>
      </c>
      <c r="O25" s="379">
        <f t="shared" si="8"/>
        <v>0</v>
      </c>
      <c r="P25" s="379">
        <f t="shared" si="8"/>
        <v>0</v>
      </c>
      <c r="Q25" s="379">
        <f t="shared" si="8"/>
        <v>0</v>
      </c>
      <c r="R25" s="379">
        <f t="shared" si="8"/>
        <v>3762.2117306471628</v>
      </c>
      <c r="S25" s="379">
        <f t="shared" si="8"/>
        <v>5235.2095961876621</v>
      </c>
      <c r="U25" s="494" t="s">
        <v>116</v>
      </c>
      <c r="V25" s="496">
        <f t="shared" ref="V25:AC25" si="9">(B15-B25)/B25</f>
        <v>0</v>
      </c>
      <c r="W25" s="496">
        <f t="shared" si="9"/>
        <v>0</v>
      </c>
      <c r="X25" s="496">
        <f t="shared" si="9"/>
        <v>0</v>
      </c>
      <c r="Y25" s="496">
        <f t="shared" si="9"/>
        <v>0</v>
      </c>
      <c r="Z25" s="496">
        <f t="shared" si="9"/>
        <v>0</v>
      </c>
      <c r="AA25" s="496">
        <f t="shared" si="9"/>
        <v>0</v>
      </c>
      <c r="AB25" s="496">
        <f t="shared" si="9"/>
        <v>3.6748299750275069E-2</v>
      </c>
      <c r="AC25" s="496">
        <f t="shared" si="9"/>
        <v>5.0097773860589993E-2</v>
      </c>
    </row>
    <row r="26" spans="1:29">
      <c r="A26" s="487"/>
    </row>
    <row r="27" spans="1:29" s="5" customFormat="1" ht="27.75">
      <c r="A27" s="488" t="s">
        <v>119</v>
      </c>
      <c r="D27" s="6"/>
      <c r="F27" s="483"/>
      <c r="K27" s="6" t="s">
        <v>107</v>
      </c>
      <c r="N27" s="6"/>
      <c r="P27" s="483"/>
      <c r="U27" s="6" t="s">
        <v>108</v>
      </c>
      <c r="X27" s="6"/>
      <c r="Z27" s="483"/>
    </row>
    <row r="28" spans="1:29" s="5" customFormat="1" ht="12.4">
      <c r="A28" s="489"/>
      <c r="D28" s="6"/>
      <c r="N28" s="6"/>
      <c r="X28" s="6"/>
    </row>
    <row r="29" spans="1:29" s="5" customFormat="1" ht="24.75">
      <c r="A29" s="488"/>
      <c r="B29" s="497" t="s">
        <v>106</v>
      </c>
      <c r="H29" s="6"/>
      <c r="K29" s="6"/>
      <c r="L29" s="497" t="s">
        <v>106</v>
      </c>
      <c r="R29" s="6"/>
      <c r="U29" s="6"/>
      <c r="V29" s="497" t="s">
        <v>106</v>
      </c>
      <c r="AB29" s="6"/>
    </row>
    <row r="30" spans="1:29" s="5" customFormat="1" ht="12.4">
      <c r="A30" s="486" t="s">
        <v>114</v>
      </c>
      <c r="B30" s="379">
        <v>98727</v>
      </c>
      <c r="C30" s="498"/>
      <c r="D30" s="498"/>
      <c r="H30" s="6"/>
      <c r="K30" s="494" t="s">
        <v>114</v>
      </c>
      <c r="L30" s="379">
        <f>I15-B30</f>
        <v>11008.054454683501</v>
      </c>
      <c r="R30" s="6"/>
      <c r="U30" s="494" t="s">
        <v>114</v>
      </c>
      <c r="V30" s="496">
        <f>(B20-B30)/B30</f>
        <v>-1</v>
      </c>
      <c r="AB30" s="6"/>
    </row>
    <row r="31" spans="1:29">
      <c r="A31" s="487"/>
    </row>
    <row r="32" spans="1:29">
      <c r="A32" s="487"/>
    </row>
    <row r="33" spans="1:29" s="5" customFormat="1" ht="15.4">
      <c r="A33" s="488" t="s">
        <v>120</v>
      </c>
      <c r="D33" s="6"/>
      <c r="F33" s="483"/>
      <c r="O33" s="6"/>
    </row>
    <row r="34" spans="1:29" s="5" customFormat="1" ht="12.4">
      <c r="A34" s="489"/>
      <c r="D34" s="6"/>
      <c r="O34" s="6"/>
    </row>
    <row r="35" spans="1:29" s="5" customFormat="1" ht="12.75" customHeight="1">
      <c r="A35" s="490"/>
      <c r="B35" s="318" t="s">
        <v>2</v>
      </c>
      <c r="C35" s="319"/>
      <c r="D35" s="319"/>
      <c r="E35" s="319"/>
      <c r="F35" s="320"/>
      <c r="G35" s="321"/>
      <c r="H35" s="321" t="s">
        <v>3</v>
      </c>
      <c r="I35" s="499" t="s">
        <v>4</v>
      </c>
      <c r="O35" s="6"/>
    </row>
    <row r="36" spans="1:29" s="5" customFormat="1" ht="12.4">
      <c r="A36" s="484"/>
      <c r="B36" s="325"/>
      <c r="C36" s="326"/>
      <c r="D36" s="326"/>
      <c r="E36" s="326"/>
      <c r="F36" s="327"/>
      <c r="G36" s="328"/>
      <c r="H36" s="328"/>
      <c r="I36" s="500"/>
      <c r="O36" s="6"/>
    </row>
    <row r="37" spans="1:29" s="5" customFormat="1" ht="12.4">
      <c r="A37" s="485"/>
      <c r="B37" s="332">
        <v>2014</v>
      </c>
      <c r="C37" s="401">
        <v>2015</v>
      </c>
      <c r="D37" s="401">
        <v>2016</v>
      </c>
      <c r="E37" s="402">
        <v>2017</v>
      </c>
      <c r="F37" s="401">
        <v>2018</v>
      </c>
      <c r="G37" s="402">
        <v>2019</v>
      </c>
      <c r="H37" s="401">
        <v>2020</v>
      </c>
      <c r="I37" s="403">
        <v>2021</v>
      </c>
      <c r="O37" s="6"/>
    </row>
    <row r="38" spans="1:29" s="5" customFormat="1" ht="12.4">
      <c r="A38" s="486" t="s">
        <v>121</v>
      </c>
      <c r="B38" s="501">
        <v>24.2</v>
      </c>
      <c r="C38" s="502"/>
      <c r="D38" s="502"/>
      <c r="E38" s="502"/>
      <c r="F38" s="502"/>
      <c r="G38" s="502"/>
      <c r="H38" s="502"/>
      <c r="I38" s="502"/>
      <c r="O38" s="6"/>
    </row>
    <row r="39" spans="1:29" s="5" customFormat="1" ht="12.4">
      <c r="A39" s="486" t="s">
        <v>122</v>
      </c>
      <c r="B39" s="501">
        <f>B47</f>
        <v>24.686236000000001</v>
      </c>
      <c r="C39" s="501">
        <f t="shared" ref="C39:G39" si="10">C47</f>
        <v>18.632222846249999</v>
      </c>
      <c r="D39" s="501">
        <f t="shared" si="10"/>
        <v>11.57</v>
      </c>
      <c r="E39" s="501">
        <f t="shared" si="10"/>
        <v>11.53</v>
      </c>
      <c r="F39" s="501">
        <f t="shared" si="10"/>
        <v>9.6072270466665994</v>
      </c>
      <c r="G39" s="501">
        <f t="shared" si="10"/>
        <v>8.9970630000000007</v>
      </c>
      <c r="H39" s="501">
        <f>+'[1]7.1 Safety Outputs'!$B$100</f>
        <v>9.4486661736111106</v>
      </c>
      <c r="I39" s="378">
        <v>13.495916438075385</v>
      </c>
      <c r="O39" s="6"/>
    </row>
    <row r="40" spans="1:29" s="5" customFormat="1" ht="12.4">
      <c r="A40" s="486" t="s">
        <v>123</v>
      </c>
      <c r="B40" s="501">
        <f>B38-B39</f>
        <v>-0.48623600000000167</v>
      </c>
      <c r="C40" s="501">
        <f>$B$38-C39</f>
        <v>5.5677771537500007</v>
      </c>
      <c r="D40" s="501">
        <f>$B$38-D39</f>
        <v>12.629999999999999</v>
      </c>
      <c r="E40" s="501">
        <f t="shared" ref="E40:I40" si="11">$B$38-E39</f>
        <v>12.67</v>
      </c>
      <c r="F40" s="501">
        <f t="shared" si="11"/>
        <v>14.5927729533334</v>
      </c>
      <c r="G40" s="501">
        <f t="shared" si="11"/>
        <v>15.202936999999999</v>
      </c>
      <c r="H40" s="501">
        <f t="shared" si="11"/>
        <v>14.751333826388889</v>
      </c>
      <c r="I40" s="501">
        <f t="shared" si="11"/>
        <v>10.704083561924614</v>
      </c>
      <c r="O40" s="6"/>
    </row>
    <row r="41" spans="1:29">
      <c r="A41" s="487"/>
    </row>
    <row r="42" spans="1:29" s="5" customFormat="1" ht="15.4">
      <c r="A42" s="488" t="s">
        <v>124</v>
      </c>
      <c r="D42" s="6"/>
      <c r="F42" s="483"/>
      <c r="K42" s="6" t="s">
        <v>125</v>
      </c>
      <c r="N42" s="6"/>
      <c r="P42" s="483"/>
      <c r="U42" s="6" t="s">
        <v>49</v>
      </c>
      <c r="X42" s="6"/>
      <c r="Z42" s="483"/>
    </row>
    <row r="43" spans="1:29" s="5" customFormat="1" thickBot="1">
      <c r="A43" s="489"/>
      <c r="D43" s="6"/>
      <c r="N43" s="6"/>
      <c r="X43" s="6"/>
    </row>
    <row r="44" spans="1:29" s="5" customFormat="1" ht="27.75" customHeight="1">
      <c r="A44" s="503"/>
      <c r="B44" s="504" t="s">
        <v>2</v>
      </c>
      <c r="C44" s="505"/>
      <c r="D44" s="505"/>
      <c r="E44" s="505"/>
      <c r="F44" s="505"/>
      <c r="G44" s="506"/>
      <c r="H44" s="504" t="s">
        <v>118</v>
      </c>
      <c r="I44" s="506"/>
      <c r="K44" s="8"/>
      <c r="L44" s="318" t="s">
        <v>2</v>
      </c>
      <c r="M44" s="319"/>
      <c r="N44" s="319"/>
      <c r="O44" s="319"/>
      <c r="P44" s="319"/>
      <c r="Q44" s="319"/>
      <c r="R44" s="319"/>
      <c r="S44" s="321" t="s">
        <v>4</v>
      </c>
      <c r="U44" s="8"/>
      <c r="V44" s="318" t="s">
        <v>2</v>
      </c>
      <c r="W44" s="319"/>
      <c r="X44" s="319"/>
      <c r="Y44" s="319"/>
      <c r="Z44" s="319"/>
      <c r="AA44" s="319"/>
      <c r="AB44" s="319"/>
      <c r="AC44" s="321" t="s">
        <v>4</v>
      </c>
    </row>
    <row r="45" spans="1:29" s="5" customFormat="1" thickBot="1">
      <c r="A45" s="507"/>
      <c r="B45" s="508"/>
      <c r="C45" s="509"/>
      <c r="D45" s="509"/>
      <c r="E45" s="509"/>
      <c r="F45" s="509"/>
      <c r="G45" s="510"/>
      <c r="H45" s="511"/>
      <c r="I45" s="512"/>
      <c r="K45" s="14"/>
      <c r="L45" s="325"/>
      <c r="M45" s="326"/>
      <c r="N45" s="326"/>
      <c r="O45" s="326"/>
      <c r="P45" s="326"/>
      <c r="Q45" s="326"/>
      <c r="R45" s="326"/>
      <c r="S45" s="328"/>
      <c r="U45" s="14"/>
      <c r="V45" s="325"/>
      <c r="W45" s="326"/>
      <c r="X45" s="326"/>
      <c r="Y45" s="326"/>
      <c r="Z45" s="326"/>
      <c r="AA45" s="326"/>
      <c r="AB45" s="326"/>
      <c r="AC45" s="328"/>
    </row>
    <row r="46" spans="1:29" s="5" customFormat="1" ht="12.4">
      <c r="A46" s="485"/>
      <c r="B46" s="332">
        <v>2014</v>
      </c>
      <c r="C46" s="401">
        <v>2015</v>
      </c>
      <c r="D46" s="401">
        <v>2016</v>
      </c>
      <c r="E46" s="402">
        <v>2017</v>
      </c>
      <c r="F46" s="401">
        <v>2018</v>
      </c>
      <c r="G46" s="402">
        <v>2019</v>
      </c>
      <c r="H46" s="401">
        <v>2020</v>
      </c>
      <c r="I46" s="403">
        <v>2021</v>
      </c>
      <c r="K46" s="21"/>
      <c r="L46" s="332">
        <v>2014</v>
      </c>
      <c r="M46" s="401">
        <v>2015</v>
      </c>
      <c r="N46" s="401">
        <v>2016</v>
      </c>
      <c r="O46" s="402">
        <v>2017</v>
      </c>
      <c r="P46" s="401">
        <v>2018</v>
      </c>
      <c r="Q46" s="402">
        <v>2019</v>
      </c>
      <c r="R46" s="401">
        <v>2020</v>
      </c>
      <c r="S46" s="403">
        <v>2021</v>
      </c>
      <c r="U46" s="21"/>
      <c r="V46" s="332">
        <v>2014</v>
      </c>
      <c r="W46" s="401">
        <v>2015</v>
      </c>
      <c r="X46" s="401">
        <v>2016</v>
      </c>
      <c r="Y46" s="402">
        <v>2017</v>
      </c>
      <c r="Z46" s="401">
        <v>2018</v>
      </c>
      <c r="AA46" s="402">
        <v>2019</v>
      </c>
      <c r="AB46" s="401">
        <v>2020</v>
      </c>
      <c r="AC46" s="403">
        <v>2021</v>
      </c>
    </row>
    <row r="47" spans="1:29" s="5" customFormat="1" ht="12.4">
      <c r="A47" s="486" t="s">
        <v>122</v>
      </c>
      <c r="B47" s="513">
        <v>24.686236000000001</v>
      </c>
      <c r="C47" s="513">
        <v>18.632222846249999</v>
      </c>
      <c r="D47" s="513">
        <v>11.57</v>
      </c>
      <c r="E47" s="513">
        <v>11.53</v>
      </c>
      <c r="F47" s="513">
        <v>9.6072270466665994</v>
      </c>
      <c r="G47" s="513">
        <v>8.9970630000000007</v>
      </c>
      <c r="H47" s="513">
        <v>14.17045814881943</v>
      </c>
      <c r="I47" s="513">
        <v>14.17045814881943</v>
      </c>
      <c r="K47" s="494" t="s">
        <v>122</v>
      </c>
      <c r="L47" s="379">
        <f t="shared" ref="L47:S48" si="12">B39-B47</f>
        <v>0</v>
      </c>
      <c r="M47" s="379">
        <f t="shared" si="12"/>
        <v>0</v>
      </c>
      <c r="N47" s="379">
        <f t="shared" si="12"/>
        <v>0</v>
      </c>
      <c r="O47" s="379">
        <f t="shared" si="12"/>
        <v>0</v>
      </c>
      <c r="P47" s="379">
        <f t="shared" si="12"/>
        <v>0</v>
      </c>
      <c r="Q47" s="379">
        <f t="shared" si="12"/>
        <v>0</v>
      </c>
      <c r="R47" s="379">
        <f t="shared" si="12"/>
        <v>-4.7217919752083191</v>
      </c>
      <c r="S47" s="379">
        <f t="shared" si="12"/>
        <v>-0.67454171074404456</v>
      </c>
      <c r="U47" s="494" t="s">
        <v>126</v>
      </c>
      <c r="V47" s="496">
        <f t="shared" ref="V47:AC47" si="13">(B39-B47)/B47</f>
        <v>0</v>
      </c>
      <c r="W47" s="496">
        <f t="shared" si="13"/>
        <v>0</v>
      </c>
      <c r="X47" s="496">
        <f t="shared" si="13"/>
        <v>0</v>
      </c>
      <c r="Y47" s="496">
        <f t="shared" si="13"/>
        <v>0</v>
      </c>
      <c r="Z47" s="496">
        <f t="shared" si="13"/>
        <v>0</v>
      </c>
      <c r="AA47" s="496">
        <f t="shared" si="13"/>
        <v>0</v>
      </c>
      <c r="AB47" s="496">
        <f t="shared" si="13"/>
        <v>-0.33321378360668608</v>
      </c>
      <c r="AC47" s="496">
        <f t="shared" si="13"/>
        <v>-4.7601969086669367E-2</v>
      </c>
    </row>
    <row r="48" spans="1:29" s="5" customFormat="1" ht="12.4">
      <c r="A48" s="486" t="s">
        <v>123</v>
      </c>
      <c r="B48" s="513">
        <v>-0.48623600000000167</v>
      </c>
      <c r="C48" s="513">
        <v>5.5677771537500007</v>
      </c>
      <c r="D48" s="513">
        <v>12.629999999999999</v>
      </c>
      <c r="E48" s="513">
        <v>12.67</v>
      </c>
      <c r="F48" s="513">
        <v>14.5927729533334</v>
      </c>
      <c r="G48" s="513">
        <v>15.202936999999999</v>
      </c>
      <c r="H48" s="513">
        <v>10.02954185118057</v>
      </c>
      <c r="I48" s="513">
        <v>10.02954185118057</v>
      </c>
      <c r="K48" s="494" t="s">
        <v>123</v>
      </c>
      <c r="L48" s="379">
        <f t="shared" si="12"/>
        <v>0</v>
      </c>
      <c r="M48" s="379">
        <f t="shared" si="12"/>
        <v>0</v>
      </c>
      <c r="N48" s="379">
        <f t="shared" si="12"/>
        <v>0</v>
      </c>
      <c r="O48" s="379">
        <f t="shared" si="12"/>
        <v>0</v>
      </c>
      <c r="P48" s="379">
        <f t="shared" si="12"/>
        <v>0</v>
      </c>
      <c r="Q48" s="379">
        <f t="shared" si="12"/>
        <v>0</v>
      </c>
      <c r="R48" s="379">
        <f t="shared" si="12"/>
        <v>4.7217919752083191</v>
      </c>
      <c r="S48" s="379">
        <f t="shared" si="12"/>
        <v>0.67454171074404456</v>
      </c>
      <c r="U48" s="494"/>
      <c r="V48" s="379"/>
      <c r="W48" s="379"/>
      <c r="X48" s="379"/>
      <c r="Y48" s="379"/>
      <c r="Z48" s="379"/>
      <c r="AA48" s="379"/>
      <c r="AB48" s="379"/>
      <c r="AC48" s="379"/>
    </row>
    <row r="49" spans="1:9">
      <c r="A49" s="487"/>
    </row>
    <row r="50" spans="1:9">
      <c r="A50" s="487"/>
    </row>
    <row r="51" spans="1:9" ht="12.75" customHeight="1">
      <c r="A51" s="488" t="s">
        <v>127</v>
      </c>
      <c r="B51" s="318" t="s">
        <v>2</v>
      </c>
      <c r="C51" s="319"/>
      <c r="D51" s="319"/>
      <c r="E51" s="319"/>
      <c r="F51" s="319"/>
      <c r="G51" s="320"/>
      <c r="H51" s="321" t="s">
        <v>3</v>
      </c>
      <c r="I51" s="322" t="s">
        <v>4</v>
      </c>
    </row>
    <row r="52" spans="1:9">
      <c r="A52" s="487"/>
      <c r="B52" s="325"/>
      <c r="C52" s="326"/>
      <c r="D52" s="326"/>
      <c r="E52" s="326"/>
      <c r="F52" s="326"/>
      <c r="G52" s="327"/>
      <c r="H52" s="328"/>
      <c r="I52" s="329"/>
    </row>
    <row r="53" spans="1:9">
      <c r="A53" s="514"/>
      <c r="B53" s="515">
        <v>2014</v>
      </c>
      <c r="C53" s="516">
        <v>2015</v>
      </c>
      <c r="D53" s="516">
        <v>2016</v>
      </c>
      <c r="E53" s="517">
        <v>2017</v>
      </c>
      <c r="F53" s="516">
        <v>2018</v>
      </c>
      <c r="G53" s="517">
        <v>2019</v>
      </c>
      <c r="H53" s="516">
        <v>2020</v>
      </c>
      <c r="I53" s="518">
        <v>2021</v>
      </c>
    </row>
    <row r="54" spans="1:9">
      <c r="A54" s="519" t="s">
        <v>128</v>
      </c>
      <c r="B54" s="379">
        <v>90885</v>
      </c>
      <c r="C54" s="379">
        <v>87141</v>
      </c>
      <c r="D54" s="379">
        <v>85471</v>
      </c>
      <c r="E54" s="379">
        <v>83758</v>
      </c>
      <c r="F54" s="379">
        <v>83348</v>
      </c>
      <c r="G54" s="379">
        <v>76509</v>
      </c>
      <c r="H54" s="379">
        <f>'[1]7.4 PREs, Reports and Repairs '!$C$8</f>
        <v>70666</v>
      </c>
      <c r="I54" s="520"/>
    </row>
    <row r="55" spans="1:9">
      <c r="A55" s="521"/>
      <c r="B55" s="520"/>
      <c r="C55" s="520"/>
      <c r="D55" s="520"/>
      <c r="E55" s="520"/>
      <c r="F55" s="520"/>
      <c r="G55" s="520"/>
      <c r="H55" s="520"/>
      <c r="I55" s="520"/>
    </row>
    <row r="56" spans="1:9">
      <c r="A56" s="522" t="s">
        <v>129</v>
      </c>
      <c r="B56" s="523"/>
      <c r="C56" s="523"/>
      <c r="D56" s="523"/>
      <c r="E56" s="523"/>
      <c r="F56" s="523"/>
      <c r="G56" s="523"/>
      <c r="H56" s="523"/>
      <c r="I56" s="523"/>
    </row>
    <row r="57" spans="1:9" ht="25.15">
      <c r="A57" s="524" t="s">
        <v>130</v>
      </c>
      <c r="B57" s="379">
        <v>33617</v>
      </c>
      <c r="C57" s="379">
        <v>32066</v>
      </c>
      <c r="D57" s="379">
        <v>31341</v>
      </c>
      <c r="E57" s="379">
        <v>29587</v>
      </c>
      <c r="F57" s="379">
        <v>29139</v>
      </c>
      <c r="G57" s="379">
        <v>27204</v>
      </c>
      <c r="H57" s="379">
        <f>'[1]7.4 PREs, Reports and Repairs '!$C$11</f>
        <v>24615</v>
      </c>
      <c r="I57" s="523"/>
    </row>
    <row r="58" spans="1:9">
      <c r="A58" s="524" t="s">
        <v>131</v>
      </c>
      <c r="B58" s="379">
        <v>33444</v>
      </c>
      <c r="C58" s="379">
        <v>31938</v>
      </c>
      <c r="D58" s="379">
        <v>31217</v>
      </c>
      <c r="E58" s="379">
        <v>29399</v>
      </c>
      <c r="F58" s="379">
        <v>28743</v>
      </c>
      <c r="G58" s="379">
        <v>27156</v>
      </c>
      <c r="H58" s="379">
        <f>'[1]7.4 PREs, Reports and Repairs '!$C$12</f>
        <v>24553</v>
      </c>
      <c r="I58" s="525"/>
    </row>
    <row r="59" spans="1:9" ht="25.15">
      <c r="A59" s="526" t="s">
        <v>132</v>
      </c>
      <c r="B59" s="527">
        <v>0.99485379421126219</v>
      </c>
      <c r="C59" s="527">
        <v>0.99600823301939745</v>
      </c>
      <c r="D59" s="528">
        <v>0.99604352126607321</v>
      </c>
      <c r="E59" s="528">
        <v>0.99364585797816607</v>
      </c>
      <c r="F59" s="528">
        <v>0.98640996602491504</v>
      </c>
      <c r="G59" s="528">
        <v>0.99823555359505955</v>
      </c>
      <c r="H59" s="528">
        <f>'[1]7.4 PREs, Reports and Repairs '!$C$13</f>
        <v>0.99748121064391626</v>
      </c>
      <c r="I59" s="525"/>
    </row>
    <row r="60" spans="1:9">
      <c r="A60" s="529"/>
      <c r="B60" s="525"/>
      <c r="C60" s="525"/>
      <c r="D60" s="525"/>
      <c r="E60" s="525"/>
      <c r="F60" s="525"/>
      <c r="G60" s="525"/>
      <c r="H60" s="525"/>
      <c r="I60" s="525"/>
    </row>
    <row r="61" spans="1:9">
      <c r="A61" s="530" t="s">
        <v>133</v>
      </c>
      <c r="B61" s="525"/>
      <c r="C61" s="525"/>
      <c r="D61" s="525"/>
      <c r="E61" s="525"/>
      <c r="F61" s="525"/>
      <c r="G61" s="525"/>
      <c r="H61" s="525"/>
      <c r="I61" s="525"/>
    </row>
    <row r="62" spans="1:9" ht="25.15">
      <c r="A62" s="524" t="s">
        <v>134</v>
      </c>
      <c r="B62" s="379">
        <v>57268</v>
      </c>
      <c r="C62" s="379">
        <v>55075</v>
      </c>
      <c r="D62" s="379">
        <v>54130</v>
      </c>
      <c r="E62" s="379">
        <v>54171</v>
      </c>
      <c r="F62" s="379">
        <v>54209</v>
      </c>
      <c r="G62" s="379">
        <v>49305</v>
      </c>
      <c r="H62" s="379">
        <f>'[1]7.4 PREs, Reports and Repairs '!$C$16</f>
        <v>46051</v>
      </c>
      <c r="I62" s="525"/>
    </row>
    <row r="63" spans="1:9">
      <c r="A63" s="524" t="s">
        <v>135</v>
      </c>
      <c r="B63" s="379">
        <v>56314</v>
      </c>
      <c r="C63" s="379">
        <v>54236</v>
      </c>
      <c r="D63" s="379">
        <v>53365</v>
      </c>
      <c r="E63" s="379">
        <v>53332</v>
      </c>
      <c r="F63" s="379">
        <v>53126</v>
      </c>
      <c r="G63" s="379">
        <v>48805</v>
      </c>
      <c r="H63" s="379">
        <f>'[1]7.4 PREs, Reports and Repairs '!$C$17</f>
        <v>45587</v>
      </c>
      <c r="I63" s="525"/>
    </row>
    <row r="64" spans="1:9" ht="25.15">
      <c r="A64" s="526" t="s">
        <v>136</v>
      </c>
      <c r="B64" s="531">
        <v>0.98334148215408257</v>
      </c>
      <c r="C64" s="531">
        <v>0.98476622787108492</v>
      </c>
      <c r="D64" s="528">
        <v>0.98586735636430811</v>
      </c>
      <c r="E64" s="528">
        <v>0.98451200827010765</v>
      </c>
      <c r="F64" s="528">
        <v>0.98002176760316551</v>
      </c>
      <c r="G64" s="528">
        <v>0.98985904066524688</v>
      </c>
      <c r="H64" s="379">
        <f>'[1]7.4 PREs, Reports and Repairs '!$C$18</f>
        <v>0.9899242144578837</v>
      </c>
      <c r="I64" s="525"/>
    </row>
    <row r="65" spans="1:9" ht="25.15">
      <c r="A65" s="526" t="s">
        <v>137</v>
      </c>
      <c r="B65" s="531">
        <v>0.46650000000000003</v>
      </c>
      <c r="C65" s="531">
        <v>0.49469999999999997</v>
      </c>
      <c r="D65" s="531">
        <v>0.52600000000000002</v>
      </c>
      <c r="E65" s="531">
        <v>0.52400000000000002</v>
      </c>
      <c r="F65" s="531">
        <v>0.53878722640832433</v>
      </c>
      <c r="G65" s="531">
        <v>0.55062433107384945</v>
      </c>
      <c r="H65" s="532">
        <v>0.4652</v>
      </c>
      <c r="I65" s="525"/>
    </row>
    <row r="66" spans="1:9">
      <c r="A66" s="487"/>
    </row>
    <row r="67" spans="1:9" ht="25.15">
      <c r="A67" s="488" t="s">
        <v>138</v>
      </c>
      <c r="B67" s="318" t="s">
        <v>2</v>
      </c>
      <c r="C67" s="319"/>
      <c r="D67" s="319"/>
      <c r="E67" s="319"/>
      <c r="F67" s="319"/>
      <c r="G67" s="320"/>
      <c r="H67" s="321" t="s">
        <v>3</v>
      </c>
      <c r="I67" s="322" t="s">
        <v>4</v>
      </c>
    </row>
    <row r="68" spans="1:9">
      <c r="A68" s="488"/>
      <c r="B68" s="325"/>
      <c r="C68" s="326"/>
      <c r="D68" s="326"/>
      <c r="E68" s="326"/>
      <c r="F68" s="326"/>
      <c r="G68" s="327"/>
      <c r="H68" s="328"/>
      <c r="I68" s="329"/>
    </row>
    <row r="69" spans="1:9" ht="13.9">
      <c r="A69" s="533"/>
      <c r="B69" s="515">
        <v>2014</v>
      </c>
      <c r="C69" s="516">
        <v>2015</v>
      </c>
      <c r="D69" s="516">
        <v>2016</v>
      </c>
      <c r="E69" s="517">
        <v>2017</v>
      </c>
      <c r="F69" s="516">
        <v>2018</v>
      </c>
      <c r="G69" s="517">
        <v>2019</v>
      </c>
      <c r="H69" s="516">
        <v>2020</v>
      </c>
      <c r="I69" s="518">
        <v>2021</v>
      </c>
    </row>
    <row r="70" spans="1:9" ht="26.25">
      <c r="A70" s="534" t="s">
        <v>139</v>
      </c>
      <c r="B70" s="379">
        <v>1</v>
      </c>
      <c r="C70" s="379">
        <v>3</v>
      </c>
      <c r="D70" s="379">
        <v>11</v>
      </c>
      <c r="E70" s="379">
        <v>11</v>
      </c>
      <c r="F70" s="379">
        <v>23</v>
      </c>
      <c r="G70" s="379">
        <v>2</v>
      </c>
      <c r="H70" s="379">
        <f>SUM('[1]7.1 Safety Outputs'!$H$9:$H$17)</f>
        <v>2</v>
      </c>
      <c r="I70" s="378">
        <v>7.5714285714285712</v>
      </c>
    </row>
    <row r="71" spans="1:9" ht="26.25">
      <c r="A71" s="535" t="s">
        <v>140</v>
      </c>
      <c r="B71" s="379">
        <v>37</v>
      </c>
      <c r="C71" s="379">
        <v>45</v>
      </c>
      <c r="D71" s="379">
        <v>35</v>
      </c>
      <c r="E71" s="379">
        <v>37</v>
      </c>
      <c r="F71" s="379">
        <v>75</v>
      </c>
      <c r="G71" s="379">
        <v>45</v>
      </c>
      <c r="H71" s="379">
        <f>SUM('[1]7.1 Safety Outputs'!$H$28:$H$36)</f>
        <v>55</v>
      </c>
      <c r="I71" s="536"/>
    </row>
    <row r="72" spans="1:9">
      <c r="A72" s="487"/>
    </row>
    <row r="73" spans="1:9" ht="25.15">
      <c r="A73" s="488" t="s">
        <v>141</v>
      </c>
      <c r="B73" s="318" t="s">
        <v>2</v>
      </c>
      <c r="C73" s="319"/>
      <c r="D73" s="319"/>
      <c r="E73" s="319"/>
      <c r="F73" s="319"/>
      <c r="G73" s="320"/>
      <c r="H73" s="321" t="s">
        <v>3</v>
      </c>
      <c r="I73" s="322" t="s">
        <v>4</v>
      </c>
    </row>
    <row r="74" spans="1:9">
      <c r="A74" s="488"/>
      <c r="B74" s="325"/>
      <c r="C74" s="326"/>
      <c r="D74" s="326"/>
      <c r="E74" s="326"/>
      <c r="F74" s="326"/>
      <c r="G74" s="327"/>
      <c r="H74" s="328"/>
      <c r="I74" s="329"/>
    </row>
    <row r="75" spans="1:9">
      <c r="A75" s="488"/>
      <c r="B75" s="515">
        <v>2014</v>
      </c>
      <c r="C75" s="516">
        <v>2015</v>
      </c>
      <c r="D75" s="516">
        <v>2016</v>
      </c>
      <c r="E75" s="517">
        <v>2017</v>
      </c>
      <c r="F75" s="516">
        <v>2018</v>
      </c>
      <c r="G75" s="517">
        <v>2019</v>
      </c>
      <c r="H75" s="516">
        <v>2020</v>
      </c>
      <c r="I75" s="518">
        <v>2021</v>
      </c>
    </row>
    <row r="76" spans="1:9" ht="13.15">
      <c r="A76" s="535" t="s">
        <v>142</v>
      </c>
      <c r="B76" s="379">
        <v>581</v>
      </c>
      <c r="C76" s="379">
        <v>616</v>
      </c>
      <c r="D76" s="379">
        <v>519</v>
      </c>
      <c r="E76" s="379">
        <v>679</v>
      </c>
      <c r="F76" s="379">
        <v>761</v>
      </c>
      <c r="G76" s="379">
        <v>640</v>
      </c>
      <c r="H76" s="379">
        <f>SUM('[1]7.1 Safety Outputs'!$H$63:$H$71)</f>
        <v>567</v>
      </c>
      <c r="I76" s="378">
        <v>623.28571428571433</v>
      </c>
    </row>
    <row r="77" spans="1:9">
      <c r="A77" s="487"/>
    </row>
    <row r="78" spans="1:9">
      <c r="A78" s="487"/>
    </row>
    <row r="79" spans="1:9" ht="12.75" customHeight="1">
      <c r="A79" s="488" t="s">
        <v>143</v>
      </c>
      <c r="B79" s="318" t="s">
        <v>2</v>
      </c>
      <c r="C79" s="319"/>
      <c r="D79" s="319"/>
      <c r="E79" s="319"/>
      <c r="F79" s="319"/>
      <c r="G79" s="320"/>
      <c r="H79" s="321" t="s">
        <v>3</v>
      </c>
      <c r="I79" s="322" t="s">
        <v>4</v>
      </c>
    </row>
    <row r="80" spans="1:9">
      <c r="A80" s="487"/>
      <c r="B80" s="325"/>
      <c r="C80" s="326"/>
      <c r="D80" s="326"/>
      <c r="E80" s="326"/>
      <c r="F80" s="326"/>
      <c r="G80" s="327"/>
      <c r="H80" s="328"/>
      <c r="I80" s="329"/>
    </row>
    <row r="81" spans="1:9">
      <c r="A81" s="487"/>
      <c r="B81" s="515">
        <v>2014</v>
      </c>
      <c r="C81" s="516">
        <v>2015</v>
      </c>
      <c r="D81" s="516">
        <v>2016</v>
      </c>
      <c r="E81" s="517">
        <v>2017</v>
      </c>
      <c r="F81" s="516">
        <v>2018</v>
      </c>
      <c r="G81" s="517">
        <v>2019</v>
      </c>
      <c r="H81" s="516">
        <v>2020</v>
      </c>
      <c r="I81" s="518">
        <v>2021</v>
      </c>
    </row>
    <row r="82" spans="1:9" ht="13.15">
      <c r="A82" s="535" t="s">
        <v>144</v>
      </c>
      <c r="B82" s="537">
        <v>8.2802547770700632E-2</v>
      </c>
      <c r="C82" s="537">
        <v>0.02</v>
      </c>
      <c r="D82" s="537">
        <v>0.38</v>
      </c>
      <c r="E82" s="537">
        <v>0.2</v>
      </c>
      <c r="F82" s="537">
        <v>0.34</v>
      </c>
      <c r="G82" s="537">
        <v>0.10318170419780315</v>
      </c>
      <c r="H82" s="537">
        <f>'[1]5.6 UNC Sub Deducts'!C20-G83</f>
        <v>0.13385826771653542</v>
      </c>
      <c r="I82" s="538">
        <v>0.14000000000000001</v>
      </c>
    </row>
    <row r="83" spans="1:9" ht="13.15">
      <c r="A83" s="539" t="s">
        <v>145</v>
      </c>
      <c r="B83" s="537">
        <f>+B82</f>
        <v>8.2802547770700632E-2</v>
      </c>
      <c r="C83" s="537">
        <f>IF(ISERROR(+C82+B83),"",+C82+B83)</f>
        <v>0.10280254777070064</v>
      </c>
      <c r="D83" s="537">
        <f t="shared" ref="D83:I83" si="14">IF(ISERROR(+D82+C83),"",+D82+C83)</f>
        <v>0.48280254777070064</v>
      </c>
      <c r="E83" s="537">
        <f t="shared" si="14"/>
        <v>0.68280254777070071</v>
      </c>
      <c r="F83" s="537">
        <f t="shared" si="14"/>
        <v>1.0228025477707008</v>
      </c>
      <c r="G83" s="537">
        <f t="shared" si="14"/>
        <v>1.1259842519685039</v>
      </c>
      <c r="H83" s="537">
        <f t="shared" si="14"/>
        <v>1.2598425196850394</v>
      </c>
      <c r="I83" s="537">
        <f t="shared" si="14"/>
        <v>1.3998425196850395</v>
      </c>
    </row>
  </sheetData>
  <mergeCells count="30">
    <mergeCell ref="B73:G74"/>
    <mergeCell ref="H73:H74"/>
    <mergeCell ref="I73:I74"/>
    <mergeCell ref="B79:G80"/>
    <mergeCell ref="H79:H80"/>
    <mergeCell ref="I79:I80"/>
    <mergeCell ref="B51:G52"/>
    <mergeCell ref="H51:H52"/>
    <mergeCell ref="I51:I52"/>
    <mergeCell ref="B67:G68"/>
    <mergeCell ref="H67:H68"/>
    <mergeCell ref="I67:I68"/>
    <mergeCell ref="B44:G44"/>
    <mergeCell ref="H44:I45"/>
    <mergeCell ref="L44:R45"/>
    <mergeCell ref="S44:S45"/>
    <mergeCell ref="V44:AB45"/>
    <mergeCell ref="AC44:AC45"/>
    <mergeCell ref="S19:S20"/>
    <mergeCell ref="V19:AB20"/>
    <mergeCell ref="AC19:AC20"/>
    <mergeCell ref="B35:F36"/>
    <mergeCell ref="G35:G36"/>
    <mergeCell ref="H35:H36"/>
    <mergeCell ref="B9:G10"/>
    <mergeCell ref="H9:H10"/>
    <mergeCell ref="I9:I10"/>
    <mergeCell ref="B19:F20"/>
    <mergeCell ref="H19:I20"/>
    <mergeCell ref="L19:R20"/>
  </mergeCells>
  <pageMargins left="0.70866141732283472" right="0.70866141732283472" top="0.74803149606299213" bottom="0.74803149606299213" header="0.31496062992125984" footer="0.31496062992125984"/>
  <pageSetup paperSize="8" scale="40" orientation="landscape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82BA9-9CF6-4C25-9538-5B318E317645}">
  <sheetPr codeName="Sheet10">
    <tabColor theme="0" tint="-0.14999847407452621"/>
    <pageSetUpPr fitToPage="1"/>
  </sheetPr>
  <dimension ref="A1:AF133"/>
  <sheetViews>
    <sheetView zoomScale="70" zoomScaleNormal="70" workbookViewId="0">
      <selection activeCell="C235" sqref="C235"/>
    </sheetView>
  </sheetViews>
  <sheetFormatPr defaultRowHeight="12.75"/>
  <cols>
    <col min="1" max="1" width="45.59765625" customWidth="1"/>
    <col min="2" max="10" width="14.3984375" customWidth="1"/>
    <col min="12" max="12" width="29.3984375" customWidth="1"/>
    <col min="13" max="13" width="14.59765625" bestFit="1" customWidth="1"/>
    <col min="14" max="20" width="11.3984375" customWidth="1"/>
    <col min="21" max="21" width="14.59765625" bestFit="1" customWidth="1"/>
    <col min="23" max="23" width="29.59765625" customWidth="1"/>
    <col min="24" max="24" width="13.73046875" bestFit="1" customWidth="1"/>
    <col min="25" max="32" width="11.59765625" customWidth="1"/>
  </cols>
  <sheetData>
    <row r="1" spans="1:32" s="3" customFormat="1" ht="25.15">
      <c r="A1" s="1" t="str">
        <f>+'[1]Universal data'!$A$1</f>
        <v>Regulatory Reporting Pack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s="3" customFormat="1" ht="25.15">
      <c r="A2" s="1" t="str">
        <f>+'[1]Universal data'!$A$2</f>
        <v>Wales &amp; West Utilities PLC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s="3" customFormat="1" ht="25.15">
      <c r="A3" s="1" t="str">
        <f>+'[1]Universal data'!$A$3</f>
        <v>2019/20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>
      <c r="A4" s="5"/>
      <c r="B4" s="5"/>
      <c r="C4" s="5"/>
      <c r="D4" s="6"/>
      <c r="E4" s="5"/>
      <c r="F4" s="5"/>
      <c r="G4" s="5"/>
      <c r="H4" s="5"/>
      <c r="I4" s="5"/>
      <c r="J4" s="5"/>
    </row>
    <row r="5" spans="1:32" ht="14.65">
      <c r="A5" s="482" t="s">
        <v>146</v>
      </c>
      <c r="B5" s="5"/>
      <c r="C5" s="5"/>
      <c r="D5" s="6"/>
      <c r="E5" s="5"/>
      <c r="F5" s="5"/>
      <c r="G5" s="5"/>
      <c r="H5" s="5"/>
      <c r="I5" s="5"/>
      <c r="J5" s="5"/>
    </row>
    <row r="6" spans="1:32" ht="19.899999999999999">
      <c r="A6" s="4"/>
      <c r="B6" s="5"/>
      <c r="C6" s="5"/>
      <c r="D6" s="6"/>
      <c r="E6" s="5"/>
      <c r="F6" s="5"/>
      <c r="G6" s="5"/>
      <c r="H6" s="5"/>
      <c r="I6" s="5"/>
      <c r="J6" s="5"/>
    </row>
    <row r="7" spans="1:32" ht="14.65">
      <c r="A7" s="482" t="s">
        <v>147</v>
      </c>
      <c r="B7" s="5"/>
      <c r="C7" s="5"/>
      <c r="D7" s="6"/>
      <c r="E7" s="5"/>
      <c r="F7" s="5"/>
      <c r="G7" s="5"/>
      <c r="H7" s="5"/>
      <c r="I7" s="5"/>
      <c r="J7" s="5"/>
    </row>
    <row r="8" spans="1:32">
      <c r="A8" s="5"/>
      <c r="B8" s="5"/>
      <c r="C8" s="5"/>
      <c r="D8" s="6"/>
      <c r="E8" s="5"/>
      <c r="F8" s="5"/>
      <c r="G8" s="5"/>
      <c r="H8" s="5"/>
      <c r="I8" s="5"/>
      <c r="J8" s="5"/>
    </row>
    <row r="9" spans="1:32" ht="15.4">
      <c r="A9" s="6" t="s">
        <v>148</v>
      </c>
      <c r="B9" s="5"/>
      <c r="C9" s="5"/>
      <c r="D9" s="6"/>
      <c r="E9" s="5"/>
      <c r="F9" s="483"/>
      <c r="G9" s="5"/>
      <c r="H9" s="5"/>
      <c r="I9" s="5"/>
      <c r="J9" s="5"/>
    </row>
    <row r="10" spans="1:32">
      <c r="A10" s="5"/>
      <c r="B10" s="5"/>
      <c r="C10" s="5"/>
      <c r="D10" s="6"/>
      <c r="E10" s="5"/>
      <c r="F10" s="5"/>
      <c r="G10" s="5"/>
      <c r="H10" s="5"/>
      <c r="I10" s="5"/>
      <c r="J10" s="5"/>
    </row>
    <row r="11" spans="1:32" ht="12.75" customHeight="1">
      <c r="A11" s="8"/>
      <c r="B11" s="318" t="s">
        <v>2</v>
      </c>
      <c r="C11" s="319"/>
      <c r="D11" s="319"/>
      <c r="E11" s="319"/>
      <c r="F11" s="319"/>
      <c r="G11" s="320"/>
      <c r="H11" s="321" t="s">
        <v>3</v>
      </c>
      <c r="I11" s="322" t="s">
        <v>4</v>
      </c>
      <c r="J11" s="540"/>
    </row>
    <row r="12" spans="1:32">
      <c r="A12" s="14"/>
      <c r="B12" s="325"/>
      <c r="C12" s="326"/>
      <c r="D12" s="326"/>
      <c r="E12" s="326"/>
      <c r="F12" s="326"/>
      <c r="G12" s="327"/>
      <c r="H12" s="328"/>
      <c r="I12" s="329"/>
      <c r="J12" s="541"/>
    </row>
    <row r="13" spans="1:32" ht="25.15">
      <c r="A13" s="21"/>
      <c r="B13" s="332">
        <v>2014</v>
      </c>
      <c r="C13" s="401">
        <v>2015</v>
      </c>
      <c r="D13" s="401">
        <v>2016</v>
      </c>
      <c r="E13" s="402">
        <v>2017</v>
      </c>
      <c r="F13" s="401">
        <v>2018</v>
      </c>
      <c r="G13" s="402">
        <v>2019</v>
      </c>
      <c r="H13" s="401">
        <v>2020</v>
      </c>
      <c r="I13" s="403">
        <v>2021</v>
      </c>
      <c r="J13" s="449" t="s">
        <v>5</v>
      </c>
    </row>
    <row r="14" spans="1:32">
      <c r="A14" s="494" t="s">
        <v>149</v>
      </c>
      <c r="B14" s="379">
        <f t="shared" ref="B14:G15" si="0">+B23</f>
        <v>53085</v>
      </c>
      <c r="C14" s="379">
        <f t="shared" si="0"/>
        <v>55623</v>
      </c>
      <c r="D14" s="379">
        <f>+D23</f>
        <v>45173</v>
      </c>
      <c r="E14" s="379">
        <f>+E23</f>
        <v>45470</v>
      </c>
      <c r="F14" s="379">
        <f>+F23</f>
        <v>35461</v>
      </c>
      <c r="G14" s="379">
        <f>+G23</f>
        <v>34835</v>
      </c>
      <c r="H14" s="379">
        <f>'[1]7.2 Reliability Outputs'!$B$21</f>
        <v>35310</v>
      </c>
      <c r="I14" s="378">
        <v>38753.932008735443</v>
      </c>
      <c r="J14" s="379">
        <f>SUM(B14:I14)</f>
        <v>343710.93200873543</v>
      </c>
    </row>
    <row r="15" spans="1:32">
      <c r="A15" s="494" t="s">
        <v>150</v>
      </c>
      <c r="B15" s="379">
        <f t="shared" si="0"/>
        <v>9478</v>
      </c>
      <c r="C15" s="379">
        <f t="shared" si="0"/>
        <v>8964</v>
      </c>
      <c r="D15" s="379">
        <f t="shared" si="0"/>
        <v>8953</v>
      </c>
      <c r="E15" s="379">
        <f t="shared" si="0"/>
        <v>8861</v>
      </c>
      <c r="F15" s="379">
        <f t="shared" si="0"/>
        <v>8014</v>
      </c>
      <c r="G15" s="379">
        <f t="shared" si="0"/>
        <v>8775</v>
      </c>
      <c r="H15" s="379">
        <f>'[1]7.2 Reliability Outputs'!$B$40</f>
        <v>7861</v>
      </c>
      <c r="I15" s="378">
        <v>9172.8571428571431</v>
      </c>
      <c r="J15" s="379">
        <f>SUM(B15:I15)</f>
        <v>70078.857142857145</v>
      </c>
    </row>
    <row r="16" spans="1:32">
      <c r="A16" s="494" t="s">
        <v>151</v>
      </c>
      <c r="B16" s="379">
        <f>SUM(B14:B15)</f>
        <v>62563</v>
      </c>
      <c r="C16" s="379">
        <f>SUM(C14:C15)</f>
        <v>64587</v>
      </c>
      <c r="D16" s="379">
        <f t="shared" ref="D16:I16" si="1">SUM(D14:D15)</f>
        <v>54126</v>
      </c>
      <c r="E16" s="379">
        <f t="shared" si="1"/>
        <v>54331</v>
      </c>
      <c r="F16" s="379">
        <f t="shared" si="1"/>
        <v>43475</v>
      </c>
      <c r="G16" s="379">
        <f t="shared" si="1"/>
        <v>43610</v>
      </c>
      <c r="H16" s="379">
        <f t="shared" si="1"/>
        <v>43171</v>
      </c>
      <c r="I16" s="379">
        <f t="shared" si="1"/>
        <v>47926.789151592588</v>
      </c>
      <c r="J16" s="379">
        <f>SUM(B16:I16)</f>
        <v>413789.78915159259</v>
      </c>
    </row>
    <row r="18" spans="1:32" ht="15.4">
      <c r="A18" s="6" t="s">
        <v>152</v>
      </c>
      <c r="B18" s="5"/>
      <c r="C18" s="5"/>
      <c r="D18" s="6"/>
      <c r="E18" s="5"/>
      <c r="F18" s="483"/>
      <c r="G18" s="5"/>
      <c r="H18" s="5"/>
      <c r="I18" s="5"/>
      <c r="J18" s="5"/>
      <c r="L18" s="6" t="s">
        <v>48</v>
      </c>
      <c r="M18" s="5"/>
      <c r="N18" s="5"/>
      <c r="O18" s="6"/>
      <c r="P18" s="5"/>
      <c r="Q18" s="483"/>
      <c r="R18" s="5"/>
      <c r="S18" s="5"/>
      <c r="T18" s="5"/>
      <c r="U18" s="5"/>
      <c r="W18" s="6" t="s">
        <v>49</v>
      </c>
      <c r="X18" s="5"/>
      <c r="Y18" s="5"/>
      <c r="Z18" s="6"/>
      <c r="AA18" s="5"/>
      <c r="AB18" s="483"/>
      <c r="AC18" s="5"/>
      <c r="AD18" s="5"/>
      <c r="AE18" s="5"/>
      <c r="AF18" s="5"/>
    </row>
    <row r="19" spans="1:32">
      <c r="A19" s="5"/>
      <c r="B19" s="5"/>
      <c r="C19" s="5"/>
      <c r="D19" s="6"/>
      <c r="E19" s="5"/>
      <c r="F19" s="5"/>
      <c r="G19" s="5"/>
      <c r="H19" s="5"/>
      <c r="I19" s="5"/>
      <c r="J19" s="5"/>
      <c r="L19" s="5"/>
      <c r="M19" s="5"/>
      <c r="N19" s="5"/>
      <c r="O19" s="6"/>
      <c r="P19" s="5"/>
      <c r="Q19" s="5"/>
      <c r="R19" s="5"/>
      <c r="S19" s="5"/>
      <c r="T19" s="5"/>
      <c r="U19" s="5"/>
      <c r="W19" s="5"/>
      <c r="X19" s="5"/>
      <c r="Y19" s="5"/>
      <c r="Z19" s="6"/>
      <c r="AA19" s="5"/>
      <c r="AB19" s="5"/>
      <c r="AC19" s="5"/>
      <c r="AD19" s="5"/>
      <c r="AE19" s="5"/>
      <c r="AF19" s="5"/>
    </row>
    <row r="20" spans="1:32" ht="12.75" customHeight="1">
      <c r="A20" s="8"/>
      <c r="B20" s="318" t="s">
        <v>2</v>
      </c>
      <c r="C20" s="319"/>
      <c r="D20" s="319"/>
      <c r="E20" s="319"/>
      <c r="F20" s="319"/>
      <c r="G20" s="320"/>
      <c r="H20" s="391" t="s">
        <v>118</v>
      </c>
      <c r="I20" s="394"/>
      <c r="J20" s="321" t="s">
        <v>5</v>
      </c>
      <c r="L20" s="8"/>
      <c r="M20" s="318" t="s">
        <v>2</v>
      </c>
      <c r="N20" s="319"/>
      <c r="O20" s="319"/>
      <c r="P20" s="319"/>
      <c r="Q20" s="319"/>
      <c r="R20" s="320"/>
      <c r="S20" s="391" t="s">
        <v>4</v>
      </c>
      <c r="T20" s="394"/>
      <c r="U20" s="321" t="s">
        <v>5</v>
      </c>
      <c r="W20" s="8"/>
      <c r="X20" s="318" t="s">
        <v>2</v>
      </c>
      <c r="Y20" s="319"/>
      <c r="Z20" s="319"/>
      <c r="AA20" s="319"/>
      <c r="AB20" s="319"/>
      <c r="AC20" s="320"/>
      <c r="AD20" s="391" t="s">
        <v>4</v>
      </c>
      <c r="AE20" s="394"/>
      <c r="AF20" s="321" t="s">
        <v>5</v>
      </c>
    </row>
    <row r="21" spans="1:32">
      <c r="A21" s="14"/>
      <c r="B21" s="325"/>
      <c r="C21" s="326"/>
      <c r="D21" s="326"/>
      <c r="E21" s="326"/>
      <c r="F21" s="326"/>
      <c r="G21" s="327"/>
      <c r="H21" s="395"/>
      <c r="I21" s="399"/>
      <c r="J21" s="397"/>
      <c r="L21" s="14"/>
      <c r="M21" s="325"/>
      <c r="N21" s="326"/>
      <c r="O21" s="326"/>
      <c r="P21" s="326"/>
      <c r="Q21" s="326"/>
      <c r="R21" s="327"/>
      <c r="S21" s="395"/>
      <c r="T21" s="399"/>
      <c r="U21" s="397"/>
      <c r="W21" s="14"/>
      <c r="X21" s="325"/>
      <c r="Y21" s="326"/>
      <c r="Z21" s="326"/>
      <c r="AA21" s="326"/>
      <c r="AB21" s="326"/>
      <c r="AC21" s="327"/>
      <c r="AD21" s="395"/>
      <c r="AE21" s="399"/>
      <c r="AF21" s="397"/>
    </row>
    <row r="22" spans="1:32">
      <c r="A22" s="21"/>
      <c r="B22" s="332">
        <v>2014</v>
      </c>
      <c r="C22" s="401">
        <v>2015</v>
      </c>
      <c r="D22" s="401">
        <v>2016</v>
      </c>
      <c r="E22" s="402">
        <v>2017</v>
      </c>
      <c r="F22" s="401">
        <v>2018</v>
      </c>
      <c r="G22" s="402">
        <v>2019</v>
      </c>
      <c r="H22" s="401">
        <v>2020</v>
      </c>
      <c r="I22" s="403">
        <v>2021</v>
      </c>
      <c r="J22" s="328"/>
      <c r="L22" s="21"/>
      <c r="M22" s="332">
        <v>2014</v>
      </c>
      <c r="N22" s="401">
        <v>2015</v>
      </c>
      <c r="O22" s="401">
        <v>2016</v>
      </c>
      <c r="P22" s="402">
        <v>2017</v>
      </c>
      <c r="Q22" s="401">
        <v>2018</v>
      </c>
      <c r="R22" s="402">
        <v>2019</v>
      </c>
      <c r="S22" s="401">
        <v>2020</v>
      </c>
      <c r="T22" s="403">
        <v>2021</v>
      </c>
      <c r="U22" s="328"/>
      <c r="W22" s="21"/>
      <c r="X22" s="332">
        <v>2014</v>
      </c>
      <c r="Y22" s="401">
        <v>2015</v>
      </c>
      <c r="Z22" s="401">
        <v>2016</v>
      </c>
      <c r="AA22" s="402">
        <v>2017</v>
      </c>
      <c r="AB22" s="401">
        <v>2018</v>
      </c>
      <c r="AC22" s="402">
        <v>2019</v>
      </c>
      <c r="AD22" s="401">
        <v>2020</v>
      </c>
      <c r="AE22" s="403">
        <v>2021</v>
      </c>
      <c r="AF22" s="328"/>
    </row>
    <row r="23" spans="1:32">
      <c r="A23" s="494" t="s">
        <v>149</v>
      </c>
      <c r="B23" s="379">
        <v>53085</v>
      </c>
      <c r="C23" s="379">
        <v>55623</v>
      </c>
      <c r="D23" s="379">
        <v>45173</v>
      </c>
      <c r="E23" s="379">
        <v>45470</v>
      </c>
      <c r="F23" s="379">
        <v>35461</v>
      </c>
      <c r="G23" s="379">
        <v>34835</v>
      </c>
      <c r="H23" s="379">
        <v>37687.493796526054</v>
      </c>
      <c r="I23" s="379">
        <v>37687.493796526054</v>
      </c>
      <c r="J23" s="379">
        <f>SUM(B23:I23)</f>
        <v>345021.98759305209</v>
      </c>
      <c r="L23" s="494" t="s">
        <v>149</v>
      </c>
      <c r="M23" s="379">
        <f>B14-B23</f>
        <v>0</v>
      </c>
      <c r="N23" s="379">
        <f t="shared" ref="N23:U25" si="2">C14-C23</f>
        <v>0</v>
      </c>
      <c r="O23" s="379">
        <f t="shared" si="2"/>
        <v>0</v>
      </c>
      <c r="P23" s="379">
        <f t="shared" si="2"/>
        <v>0</v>
      </c>
      <c r="Q23" s="379">
        <f t="shared" si="2"/>
        <v>0</v>
      </c>
      <c r="R23" s="379">
        <f t="shared" si="2"/>
        <v>0</v>
      </c>
      <c r="S23" s="379">
        <f t="shared" si="2"/>
        <v>-2377.4937965260542</v>
      </c>
      <c r="T23" s="379">
        <f t="shared" si="2"/>
        <v>1066.4382122093884</v>
      </c>
      <c r="U23" s="379">
        <f t="shared" si="2"/>
        <v>-1311.0555843166658</v>
      </c>
      <c r="W23" s="494" t="s">
        <v>149</v>
      </c>
      <c r="X23" s="496">
        <f>M23/B23</f>
        <v>0</v>
      </c>
      <c r="Y23" s="496">
        <f t="shared" ref="Y23:AF25" si="3">N23/C23</f>
        <v>0</v>
      </c>
      <c r="Z23" s="496">
        <f t="shared" si="3"/>
        <v>0</v>
      </c>
      <c r="AA23" s="496">
        <f t="shared" si="3"/>
        <v>0</v>
      </c>
      <c r="AB23" s="496">
        <f t="shared" si="3"/>
        <v>0</v>
      </c>
      <c r="AC23" s="496">
        <f t="shared" si="3"/>
        <v>0</v>
      </c>
      <c r="AD23" s="496">
        <f t="shared" si="3"/>
        <v>-6.308442289535332E-2</v>
      </c>
      <c r="AE23" s="496">
        <f t="shared" si="3"/>
        <v>2.8296872643404327E-2</v>
      </c>
      <c r="AF23" s="496">
        <f t="shared" si="3"/>
        <v>-3.7999189369433313E-3</v>
      </c>
    </row>
    <row r="24" spans="1:32">
      <c r="A24" s="494" t="s">
        <v>150</v>
      </c>
      <c r="B24" s="379">
        <v>9478</v>
      </c>
      <c r="C24" s="379">
        <v>8964</v>
      </c>
      <c r="D24" s="379">
        <v>8953</v>
      </c>
      <c r="E24" s="379">
        <v>8861</v>
      </c>
      <c r="F24" s="379">
        <v>8014</v>
      </c>
      <c r="G24" s="379">
        <v>8775</v>
      </c>
      <c r="H24" s="379">
        <v>9391.5</v>
      </c>
      <c r="I24" s="379">
        <v>9391.5</v>
      </c>
      <c r="J24" s="379">
        <f>SUM(B24:I24)</f>
        <v>71828</v>
      </c>
      <c r="L24" s="494" t="s">
        <v>150</v>
      </c>
      <c r="M24" s="379">
        <f>B15-B24</f>
        <v>0</v>
      </c>
      <c r="N24" s="379">
        <f t="shared" si="2"/>
        <v>0</v>
      </c>
      <c r="O24" s="379">
        <f t="shared" si="2"/>
        <v>0</v>
      </c>
      <c r="P24" s="379">
        <f t="shared" si="2"/>
        <v>0</v>
      </c>
      <c r="Q24" s="379">
        <f t="shared" si="2"/>
        <v>0</v>
      </c>
      <c r="R24" s="379">
        <f t="shared" si="2"/>
        <v>0</v>
      </c>
      <c r="S24" s="379">
        <f t="shared" si="2"/>
        <v>-1530.5</v>
      </c>
      <c r="T24" s="379">
        <f t="shared" si="2"/>
        <v>-218.64285714285688</v>
      </c>
      <c r="U24" s="379">
        <f t="shared" si="2"/>
        <v>-1749.1428571428551</v>
      </c>
      <c r="W24" s="494" t="s">
        <v>150</v>
      </c>
      <c r="X24" s="496">
        <f>M24/B24</f>
        <v>0</v>
      </c>
      <c r="Y24" s="496">
        <f t="shared" si="3"/>
        <v>0</v>
      </c>
      <c r="Z24" s="496">
        <f t="shared" si="3"/>
        <v>0</v>
      </c>
      <c r="AA24" s="496">
        <f t="shared" si="3"/>
        <v>0</v>
      </c>
      <c r="AB24" s="496">
        <f t="shared" si="3"/>
        <v>0</v>
      </c>
      <c r="AC24" s="496">
        <f t="shared" si="3"/>
        <v>0</v>
      </c>
      <c r="AD24" s="496">
        <f t="shared" si="3"/>
        <v>-0.16296651227173509</v>
      </c>
      <c r="AE24" s="496">
        <f t="shared" si="3"/>
        <v>-2.3280930324533555E-2</v>
      </c>
      <c r="AF24" s="496">
        <f t="shared" si="3"/>
        <v>-2.4351824596854362E-2</v>
      </c>
    </row>
    <row r="25" spans="1:32">
      <c r="A25" s="494" t="s">
        <v>151</v>
      </c>
      <c r="B25" s="379">
        <f>SUM(B23:B24)</f>
        <v>62563</v>
      </c>
      <c r="C25" s="379">
        <f t="shared" ref="C25:I25" si="4">SUM(C23:C24)</f>
        <v>64587</v>
      </c>
      <c r="D25" s="379">
        <f t="shared" si="4"/>
        <v>54126</v>
      </c>
      <c r="E25" s="379">
        <f t="shared" si="4"/>
        <v>54331</v>
      </c>
      <c r="F25" s="379">
        <f t="shared" si="4"/>
        <v>43475</v>
      </c>
      <c r="G25" s="379">
        <f t="shared" si="4"/>
        <v>43610</v>
      </c>
      <c r="H25" s="379">
        <f t="shared" si="4"/>
        <v>47078.993796526054</v>
      </c>
      <c r="I25" s="379">
        <f t="shared" si="4"/>
        <v>47078.993796526054</v>
      </c>
      <c r="J25" s="379">
        <f>SUM(B25:I25)</f>
        <v>416849.98759305209</v>
      </c>
      <c r="L25" s="494" t="s">
        <v>151</v>
      </c>
      <c r="M25" s="379">
        <f>B16-B25</f>
        <v>0</v>
      </c>
      <c r="N25" s="379">
        <f t="shared" si="2"/>
        <v>0</v>
      </c>
      <c r="O25" s="379">
        <f t="shared" si="2"/>
        <v>0</v>
      </c>
      <c r="P25" s="379">
        <f t="shared" si="2"/>
        <v>0</v>
      </c>
      <c r="Q25" s="379">
        <f t="shared" si="2"/>
        <v>0</v>
      </c>
      <c r="R25" s="379">
        <f t="shared" si="2"/>
        <v>0</v>
      </c>
      <c r="S25" s="379">
        <f t="shared" si="2"/>
        <v>-3907.9937965260542</v>
      </c>
      <c r="T25" s="379">
        <f t="shared" si="2"/>
        <v>847.79535506653338</v>
      </c>
      <c r="U25" s="379">
        <f t="shared" si="2"/>
        <v>-3060.1984414595063</v>
      </c>
      <c r="W25" s="494" t="s">
        <v>151</v>
      </c>
      <c r="X25" s="496">
        <f>M25/B25</f>
        <v>0</v>
      </c>
      <c r="Y25" s="496">
        <f t="shared" si="3"/>
        <v>0</v>
      </c>
      <c r="Z25" s="496">
        <f t="shared" si="3"/>
        <v>0</v>
      </c>
      <c r="AA25" s="496">
        <f t="shared" si="3"/>
        <v>0</v>
      </c>
      <c r="AB25" s="496">
        <f t="shared" si="3"/>
        <v>0</v>
      </c>
      <c r="AC25" s="496">
        <f t="shared" si="3"/>
        <v>0</v>
      </c>
      <c r="AD25" s="496">
        <f t="shared" si="3"/>
        <v>-8.3009288886170374E-2</v>
      </c>
      <c r="AE25" s="496">
        <f t="shared" si="3"/>
        <v>1.8007932767864124E-2</v>
      </c>
      <c r="AF25" s="496">
        <f t="shared" si="3"/>
        <v>-7.3412463297156463E-3</v>
      </c>
    </row>
    <row r="27" spans="1:32" ht="15.4">
      <c r="A27" s="6" t="s">
        <v>153</v>
      </c>
      <c r="B27" s="5"/>
      <c r="C27" s="5"/>
      <c r="D27" s="6"/>
      <c r="E27" s="5"/>
      <c r="F27" s="483"/>
      <c r="G27" s="5"/>
      <c r="H27" s="5"/>
      <c r="I27" s="5"/>
      <c r="J27" s="5"/>
      <c r="L27" s="6" t="s">
        <v>107</v>
      </c>
      <c r="M27" s="5"/>
      <c r="N27" s="5"/>
      <c r="O27" s="6"/>
      <c r="P27" s="5"/>
      <c r="Q27" s="483"/>
      <c r="R27" s="5"/>
      <c r="S27" s="5"/>
      <c r="T27" s="5"/>
      <c r="U27" s="5"/>
      <c r="W27" s="6" t="s">
        <v>107</v>
      </c>
      <c r="X27" s="5"/>
      <c r="Y27" s="5"/>
      <c r="Z27" s="6"/>
      <c r="AA27" s="5"/>
      <c r="AB27" s="483"/>
      <c r="AC27" s="5"/>
      <c r="AD27" s="5"/>
      <c r="AE27" s="5"/>
      <c r="AF27" s="5"/>
    </row>
    <row r="28" spans="1:32">
      <c r="A28" s="5"/>
      <c r="B28" s="5"/>
      <c r="C28" s="5"/>
      <c r="D28" s="6"/>
      <c r="E28" s="5"/>
      <c r="F28" s="5"/>
      <c r="G28" s="5"/>
      <c r="H28" s="5"/>
      <c r="I28" s="5"/>
      <c r="J28" s="5"/>
      <c r="L28" s="5"/>
      <c r="M28" s="5"/>
      <c r="N28" s="5"/>
      <c r="O28" s="6"/>
      <c r="P28" s="5"/>
      <c r="Q28" s="5"/>
      <c r="R28" s="5"/>
      <c r="S28" s="5"/>
      <c r="T28" s="5"/>
      <c r="U28" s="5"/>
      <c r="W28" s="5"/>
      <c r="X28" s="5"/>
      <c r="Y28" s="5"/>
      <c r="Z28" s="6"/>
      <c r="AA28" s="5"/>
      <c r="AB28" s="5"/>
      <c r="AC28" s="5"/>
      <c r="AD28" s="5"/>
      <c r="AE28" s="5"/>
      <c r="AF28" s="5"/>
    </row>
    <row r="29" spans="1:32" ht="25.15">
      <c r="A29" s="21"/>
      <c r="B29" s="497" t="s">
        <v>106</v>
      </c>
      <c r="C29" s="5"/>
      <c r="D29" s="5"/>
      <c r="E29" s="5"/>
      <c r="F29" s="5"/>
      <c r="G29" s="5"/>
      <c r="H29" s="6"/>
      <c r="I29" s="5"/>
      <c r="J29" s="5"/>
      <c r="L29" s="6"/>
      <c r="M29" s="497" t="s">
        <v>106</v>
      </c>
      <c r="N29" s="5"/>
      <c r="O29" s="5"/>
      <c r="P29" s="5"/>
      <c r="Q29" s="5"/>
      <c r="R29" s="5"/>
      <c r="S29" s="6"/>
      <c r="T29" s="5"/>
      <c r="U29" s="5"/>
      <c r="W29" s="21"/>
      <c r="X29" s="497" t="s">
        <v>106</v>
      </c>
      <c r="Y29" s="5"/>
      <c r="Z29" s="5"/>
      <c r="AA29" s="5"/>
      <c r="AB29" s="5"/>
      <c r="AC29" s="5"/>
      <c r="AD29" s="6"/>
      <c r="AE29" s="5"/>
      <c r="AF29" s="5"/>
    </row>
    <row r="30" spans="1:32">
      <c r="A30" s="494" t="s">
        <v>149</v>
      </c>
      <c r="B30" s="379">
        <v>451235.33555473888</v>
      </c>
      <c r="C30" s="5"/>
      <c r="D30" s="5"/>
      <c r="E30" s="5"/>
      <c r="F30" s="5"/>
      <c r="G30" s="5"/>
      <c r="H30" s="6"/>
      <c r="I30" s="5"/>
      <c r="J30" s="5"/>
      <c r="L30" s="494" t="s">
        <v>149</v>
      </c>
      <c r="M30" s="379">
        <f>J14-B30</f>
        <v>-107524.40354600345</v>
      </c>
      <c r="N30" s="5"/>
      <c r="O30" s="5"/>
      <c r="P30" s="5"/>
      <c r="Q30" s="5"/>
      <c r="R30" s="5"/>
      <c r="S30" s="6"/>
      <c r="T30" s="5"/>
      <c r="U30" s="5"/>
      <c r="W30" s="494" t="s">
        <v>149</v>
      </c>
      <c r="X30" s="496">
        <f>M30/B30</f>
        <v>-0.23828897046330669</v>
      </c>
      <c r="Y30" s="5"/>
      <c r="Z30" s="5"/>
      <c r="AA30" s="5"/>
      <c r="AB30" s="5"/>
      <c r="AC30" s="5"/>
      <c r="AD30" s="6"/>
      <c r="AE30" s="5"/>
      <c r="AF30" s="5"/>
    </row>
    <row r="31" spans="1:32">
      <c r="A31" s="494" t="s">
        <v>150</v>
      </c>
      <c r="B31" s="379">
        <v>90169.222486428465</v>
      </c>
      <c r="L31" s="494" t="s">
        <v>150</v>
      </c>
      <c r="M31" s="379">
        <f>J15-B31</f>
        <v>-20090.36534357132</v>
      </c>
      <c r="W31" s="494" t="s">
        <v>150</v>
      </c>
      <c r="X31" s="496">
        <f>M31/B31</f>
        <v>-0.22280734811254646</v>
      </c>
    </row>
    <row r="32" spans="1:32">
      <c r="A32" s="494" t="s">
        <v>151</v>
      </c>
      <c r="B32" s="379">
        <v>541404.55804116733</v>
      </c>
      <c r="L32" s="494" t="s">
        <v>151</v>
      </c>
      <c r="M32" s="379">
        <f>J16-B32</f>
        <v>-127614.76888957474</v>
      </c>
      <c r="W32" s="494" t="s">
        <v>151</v>
      </c>
      <c r="X32" s="496">
        <f>M32/B32</f>
        <v>-0.23571055506309788</v>
      </c>
    </row>
    <row r="34" spans="1:32" ht="15.4">
      <c r="A34" s="6" t="s">
        <v>154</v>
      </c>
      <c r="B34" s="5"/>
      <c r="C34" s="5"/>
      <c r="D34" s="6"/>
      <c r="E34" s="5"/>
      <c r="F34" s="483"/>
      <c r="G34" s="5"/>
      <c r="H34" s="5"/>
      <c r="I34" s="5"/>
      <c r="J34" s="5"/>
    </row>
    <row r="35" spans="1:32">
      <c r="A35" s="5"/>
      <c r="B35" s="5"/>
      <c r="C35" s="5"/>
      <c r="D35" s="6"/>
      <c r="E35" s="5"/>
      <c r="F35" s="5"/>
      <c r="G35" s="5"/>
      <c r="H35" s="5"/>
      <c r="I35" s="5"/>
      <c r="J35" s="5"/>
    </row>
    <row r="36" spans="1:32" ht="12.75" customHeight="1">
      <c r="A36" s="8"/>
      <c r="B36" s="318" t="s">
        <v>2</v>
      </c>
      <c r="C36" s="319"/>
      <c r="D36" s="319"/>
      <c r="E36" s="319"/>
      <c r="F36" s="319"/>
      <c r="G36" s="320"/>
      <c r="H36" s="321" t="s">
        <v>3</v>
      </c>
      <c r="I36" s="322" t="s">
        <v>4</v>
      </c>
      <c r="J36" s="321" t="s">
        <v>5</v>
      </c>
    </row>
    <row r="37" spans="1:32">
      <c r="A37" s="14"/>
      <c r="B37" s="325"/>
      <c r="C37" s="326"/>
      <c r="D37" s="326"/>
      <c r="E37" s="326"/>
      <c r="F37" s="326"/>
      <c r="G37" s="327"/>
      <c r="H37" s="328"/>
      <c r="I37" s="329"/>
      <c r="J37" s="397"/>
    </row>
    <row r="38" spans="1:32">
      <c r="A38" s="21"/>
      <c r="B38" s="332">
        <v>2014</v>
      </c>
      <c r="C38" s="401">
        <v>2015</v>
      </c>
      <c r="D38" s="401">
        <v>2016</v>
      </c>
      <c r="E38" s="402">
        <v>2017</v>
      </c>
      <c r="F38" s="401">
        <v>2018</v>
      </c>
      <c r="G38" s="402">
        <v>2019</v>
      </c>
      <c r="H38" s="401">
        <v>2020</v>
      </c>
      <c r="I38" s="403">
        <v>2021</v>
      </c>
      <c r="J38" s="328"/>
    </row>
    <row r="39" spans="1:32">
      <c r="A39" s="494" t="s">
        <v>155</v>
      </c>
      <c r="B39" s="379">
        <f t="shared" ref="B39:G40" si="5">+B48</f>
        <v>13.083749999999956</v>
      </c>
      <c r="C39" s="379">
        <f t="shared" si="5"/>
        <v>13.677531983333351</v>
      </c>
      <c r="D39" s="379">
        <f t="shared" si="5"/>
        <v>10.375801233334414</v>
      </c>
      <c r="E39" s="379">
        <f t="shared" si="5"/>
        <v>9.085347076666185</v>
      </c>
      <c r="F39" s="379">
        <f t="shared" si="5"/>
        <v>6.851770656658692</v>
      </c>
      <c r="G39" s="379">
        <f t="shared" si="5"/>
        <v>5.9422625099872723</v>
      </c>
      <c r="H39" s="379">
        <f>+'[1]7.2 Reliability Outputs'!$C$21/1000000</f>
        <v>6.0689664701033932</v>
      </c>
      <c r="I39" s="378">
        <v>7.90580212978203</v>
      </c>
      <c r="J39" s="379">
        <f>SUM(B39:I39)</f>
        <v>72.991232059865297</v>
      </c>
    </row>
    <row r="40" spans="1:32">
      <c r="A40" s="494" t="s">
        <v>156</v>
      </c>
      <c r="B40" s="379">
        <f t="shared" si="5"/>
        <v>6.121920833332859</v>
      </c>
      <c r="C40" s="379">
        <f t="shared" si="5"/>
        <v>4.2901365833330676</v>
      </c>
      <c r="D40" s="379">
        <f t="shared" si="5"/>
        <v>3.9700865833322099</v>
      </c>
      <c r="E40" s="379">
        <f t="shared" si="5"/>
        <v>4.3188811999998071</v>
      </c>
      <c r="F40" s="379">
        <f t="shared" si="5"/>
        <v>3.5511756033329256</v>
      </c>
      <c r="G40" s="379">
        <f t="shared" si="5"/>
        <v>3.1254646500000378</v>
      </c>
      <c r="H40" s="379">
        <f>+'[1]7.2 Reliability Outputs'!$C$40/1000000</f>
        <v>2.793017679999755</v>
      </c>
      <c r="I40" s="378">
        <v>4.5864285714285717</v>
      </c>
      <c r="J40" s="379">
        <f>SUM(B40:I40)</f>
        <v>32.757111704759232</v>
      </c>
    </row>
    <row r="41" spans="1:32">
      <c r="A41" s="494" t="s">
        <v>151</v>
      </c>
      <c r="B41" s="379">
        <f t="shared" ref="B41:I41" si="6">SUM(B39:B40)</f>
        <v>19.205670833332814</v>
      </c>
      <c r="C41" s="379">
        <f t="shared" si="6"/>
        <v>17.967668566666418</v>
      </c>
      <c r="D41" s="379">
        <f t="shared" si="6"/>
        <v>14.345887816666623</v>
      </c>
      <c r="E41" s="379">
        <f t="shared" si="6"/>
        <v>13.404228276665993</v>
      </c>
      <c r="F41" s="379">
        <f t="shared" si="6"/>
        <v>10.402946259991618</v>
      </c>
      <c r="G41" s="379">
        <f t="shared" si="6"/>
        <v>9.0677271599873102</v>
      </c>
      <c r="H41" s="379">
        <f t="shared" si="6"/>
        <v>8.8619841501031473</v>
      </c>
      <c r="I41" s="379">
        <f t="shared" si="6"/>
        <v>12.492230701210602</v>
      </c>
      <c r="J41" s="379">
        <f>SUM(B41:I41)</f>
        <v>105.74834376462455</v>
      </c>
    </row>
    <row r="43" spans="1:32" ht="15.4">
      <c r="A43" s="6" t="s">
        <v>157</v>
      </c>
      <c r="B43" s="5"/>
      <c r="C43" s="5"/>
      <c r="D43" s="6"/>
      <c r="E43" s="5"/>
      <c r="F43" s="483"/>
      <c r="G43" s="5"/>
      <c r="H43" s="5"/>
      <c r="I43" s="5"/>
      <c r="J43" s="5"/>
      <c r="L43" s="6" t="s">
        <v>48</v>
      </c>
      <c r="M43" s="5"/>
      <c r="N43" s="5"/>
      <c r="O43" s="6"/>
      <c r="P43" s="5"/>
      <c r="Q43" s="483"/>
      <c r="R43" s="5"/>
      <c r="S43" s="5"/>
      <c r="T43" s="5"/>
      <c r="U43" s="5"/>
      <c r="W43" s="6" t="s">
        <v>49</v>
      </c>
      <c r="X43" s="5"/>
      <c r="Y43" s="5"/>
      <c r="Z43" s="6"/>
      <c r="AA43" s="5"/>
      <c r="AB43" s="483"/>
      <c r="AC43" s="5"/>
      <c r="AD43" s="5"/>
      <c r="AE43" s="5"/>
      <c r="AF43" s="5"/>
    </row>
    <row r="44" spans="1:32">
      <c r="A44" s="5"/>
      <c r="B44" s="5"/>
      <c r="C44" s="5"/>
      <c r="D44" s="6"/>
      <c r="E44" s="5"/>
      <c r="F44" s="5"/>
      <c r="G44" s="5"/>
      <c r="H44" s="5"/>
      <c r="I44" s="5"/>
      <c r="J44" s="5"/>
      <c r="L44" s="5"/>
      <c r="M44" s="5"/>
      <c r="N44" s="5"/>
      <c r="O44" s="6"/>
      <c r="P44" s="5"/>
      <c r="Q44" s="5"/>
      <c r="R44" s="5"/>
      <c r="S44" s="5"/>
      <c r="T44" s="5"/>
      <c r="U44" s="5"/>
      <c r="W44" s="5"/>
      <c r="X44" s="5"/>
      <c r="Y44" s="5"/>
      <c r="Z44" s="6"/>
      <c r="AA44" s="5"/>
      <c r="AB44" s="5"/>
      <c r="AC44" s="5"/>
      <c r="AD44" s="5"/>
      <c r="AE44" s="5"/>
      <c r="AF44" s="5"/>
    </row>
    <row r="45" spans="1:32" ht="12.75" customHeight="1">
      <c r="A45" s="8"/>
      <c r="B45" s="318" t="s">
        <v>2</v>
      </c>
      <c r="C45" s="319"/>
      <c r="D45" s="319"/>
      <c r="E45" s="319"/>
      <c r="F45" s="319"/>
      <c r="G45" s="320"/>
      <c r="H45" s="391" t="s">
        <v>118</v>
      </c>
      <c r="I45" s="394"/>
      <c r="J45" s="321" t="s">
        <v>5</v>
      </c>
      <c r="L45" s="8"/>
      <c r="M45" s="318" t="s">
        <v>2</v>
      </c>
      <c r="N45" s="319"/>
      <c r="O45" s="319"/>
      <c r="P45" s="319"/>
      <c r="Q45" s="319"/>
      <c r="R45" s="320"/>
      <c r="S45" s="391" t="s">
        <v>4</v>
      </c>
      <c r="T45" s="394"/>
      <c r="U45" s="321" t="s">
        <v>5</v>
      </c>
      <c r="W45" s="8"/>
      <c r="X45" s="318" t="s">
        <v>2</v>
      </c>
      <c r="Y45" s="319"/>
      <c r="Z45" s="319"/>
      <c r="AA45" s="319"/>
      <c r="AB45" s="319"/>
      <c r="AC45" s="320"/>
      <c r="AD45" s="391" t="s">
        <v>4</v>
      </c>
      <c r="AE45" s="394"/>
      <c r="AF45" s="321" t="s">
        <v>5</v>
      </c>
    </row>
    <row r="46" spans="1:32">
      <c r="A46" s="14"/>
      <c r="B46" s="325"/>
      <c r="C46" s="326"/>
      <c r="D46" s="326"/>
      <c r="E46" s="326"/>
      <c r="F46" s="326"/>
      <c r="G46" s="327"/>
      <c r="H46" s="395"/>
      <c r="I46" s="399"/>
      <c r="J46" s="397"/>
      <c r="L46" s="14"/>
      <c r="M46" s="325"/>
      <c r="N46" s="326"/>
      <c r="O46" s="326"/>
      <c r="P46" s="326"/>
      <c r="Q46" s="326"/>
      <c r="R46" s="327"/>
      <c r="S46" s="395"/>
      <c r="T46" s="399"/>
      <c r="U46" s="397"/>
      <c r="W46" s="14"/>
      <c r="X46" s="325"/>
      <c r="Y46" s="326"/>
      <c r="Z46" s="326"/>
      <c r="AA46" s="326"/>
      <c r="AB46" s="326"/>
      <c r="AC46" s="327"/>
      <c r="AD46" s="395"/>
      <c r="AE46" s="399"/>
      <c r="AF46" s="397"/>
    </row>
    <row r="47" spans="1:32">
      <c r="A47" s="21"/>
      <c r="B47" s="332">
        <v>2014</v>
      </c>
      <c r="C47" s="401">
        <v>2015</v>
      </c>
      <c r="D47" s="401">
        <v>2016</v>
      </c>
      <c r="E47" s="402">
        <v>2017</v>
      </c>
      <c r="F47" s="401">
        <v>2018</v>
      </c>
      <c r="G47" s="402">
        <v>2019</v>
      </c>
      <c r="H47" s="401">
        <v>2020</v>
      </c>
      <c r="I47" s="403">
        <v>2021</v>
      </c>
      <c r="J47" s="328"/>
      <c r="L47" s="21"/>
      <c r="M47" s="332">
        <v>2014</v>
      </c>
      <c r="N47" s="401">
        <v>2015</v>
      </c>
      <c r="O47" s="401">
        <v>2016</v>
      </c>
      <c r="P47" s="402">
        <v>2017</v>
      </c>
      <c r="Q47" s="401">
        <v>2018</v>
      </c>
      <c r="R47" s="402">
        <v>2019</v>
      </c>
      <c r="S47" s="401">
        <v>2020</v>
      </c>
      <c r="T47" s="403">
        <v>2021</v>
      </c>
      <c r="U47" s="328"/>
      <c r="W47" s="21"/>
      <c r="X47" s="332">
        <v>2014</v>
      </c>
      <c r="Y47" s="401">
        <v>2015</v>
      </c>
      <c r="Z47" s="401">
        <v>2016</v>
      </c>
      <c r="AA47" s="402">
        <v>2017</v>
      </c>
      <c r="AB47" s="401">
        <v>2018</v>
      </c>
      <c r="AC47" s="402">
        <v>2019</v>
      </c>
      <c r="AD47" s="401">
        <v>2020</v>
      </c>
      <c r="AE47" s="403">
        <v>2021</v>
      </c>
      <c r="AF47" s="328"/>
    </row>
    <row r="48" spans="1:32">
      <c r="A48" s="494" t="s">
        <v>155</v>
      </c>
      <c r="B48" s="379">
        <v>13.083749999999956</v>
      </c>
      <c r="C48" s="379">
        <v>13.677531983333351</v>
      </c>
      <c r="D48" s="379">
        <v>10.375801233334414</v>
      </c>
      <c r="E48" s="379">
        <v>9.085347076666185</v>
      </c>
      <c r="F48" s="379">
        <v>6.851770656658692</v>
      </c>
      <c r="G48" s="379">
        <v>5.9422625099872723</v>
      </c>
      <c r="H48" s="379">
        <v>7.6882487344913146</v>
      </c>
      <c r="I48" s="379">
        <v>7.6882487344913146</v>
      </c>
      <c r="J48" s="379">
        <f t="shared" ref="J48:J49" si="7">SUM(B48:I48)</f>
        <v>74.392960928962495</v>
      </c>
      <c r="L48" s="494" t="s">
        <v>149</v>
      </c>
      <c r="M48" s="379">
        <f t="shared" ref="M48:U50" si="8">B39-B48</f>
        <v>0</v>
      </c>
      <c r="N48" s="379">
        <f t="shared" si="8"/>
        <v>0</v>
      </c>
      <c r="O48" s="379">
        <f t="shared" si="8"/>
        <v>0</v>
      </c>
      <c r="P48" s="379">
        <f t="shared" si="8"/>
        <v>0</v>
      </c>
      <c r="Q48" s="379">
        <f t="shared" si="8"/>
        <v>0</v>
      </c>
      <c r="R48" s="379">
        <f t="shared" si="8"/>
        <v>0</v>
      </c>
      <c r="S48" s="379">
        <f t="shared" si="8"/>
        <v>-1.6192822643879214</v>
      </c>
      <c r="T48" s="379">
        <f t="shared" si="8"/>
        <v>0.21755339529071538</v>
      </c>
      <c r="U48" s="379">
        <f t="shared" si="8"/>
        <v>-1.4017288690971981</v>
      </c>
      <c r="W48" s="494" t="s">
        <v>149</v>
      </c>
      <c r="X48" s="496">
        <f t="shared" ref="X48:AF50" si="9">M48/B48</f>
        <v>0</v>
      </c>
      <c r="Y48" s="496">
        <f t="shared" si="9"/>
        <v>0</v>
      </c>
      <c r="Z48" s="496">
        <f t="shared" si="9"/>
        <v>0</v>
      </c>
      <c r="AA48" s="496">
        <f t="shared" si="9"/>
        <v>0</v>
      </c>
      <c r="AB48" s="496">
        <f t="shared" si="9"/>
        <v>0</v>
      </c>
      <c r="AC48" s="496">
        <f t="shared" si="9"/>
        <v>0</v>
      </c>
      <c r="AD48" s="496">
        <f t="shared" si="9"/>
        <v>-0.21061782992574571</v>
      </c>
      <c r="AE48" s="496">
        <f t="shared" si="9"/>
        <v>2.8296872643404348E-2</v>
      </c>
      <c r="AF48" s="496">
        <f t="shared" si="9"/>
        <v>-1.8842224473841047E-2</v>
      </c>
    </row>
    <row r="49" spans="1:32">
      <c r="A49" s="494" t="s">
        <v>156</v>
      </c>
      <c r="B49" s="379">
        <v>6.121920833332859</v>
      </c>
      <c r="C49" s="379">
        <v>4.2901365833330676</v>
      </c>
      <c r="D49" s="379">
        <v>3.9700865833322099</v>
      </c>
      <c r="E49" s="379">
        <v>4.3188811999998071</v>
      </c>
      <c r="F49" s="379">
        <v>3.5511756033329256</v>
      </c>
      <c r="G49" s="379">
        <v>3.1254646500000378</v>
      </c>
      <c r="H49" s="379">
        <v>4.6957500000000003</v>
      </c>
      <c r="I49" s="379">
        <v>4.6957500000000003</v>
      </c>
      <c r="J49" s="379">
        <f t="shared" si="7"/>
        <v>34.769165453330906</v>
      </c>
      <c r="L49" s="494" t="s">
        <v>150</v>
      </c>
      <c r="M49" s="379">
        <f t="shared" si="8"/>
        <v>0</v>
      </c>
      <c r="N49" s="379">
        <f t="shared" si="8"/>
        <v>0</v>
      </c>
      <c r="O49" s="379">
        <f t="shared" si="8"/>
        <v>0</v>
      </c>
      <c r="P49" s="379">
        <f t="shared" si="8"/>
        <v>0</v>
      </c>
      <c r="Q49" s="379">
        <f t="shared" si="8"/>
        <v>0</v>
      </c>
      <c r="R49" s="379">
        <f t="shared" si="8"/>
        <v>0</v>
      </c>
      <c r="S49" s="379">
        <f t="shared" si="8"/>
        <v>-1.9027323200002453</v>
      </c>
      <c r="T49" s="379">
        <f t="shared" si="8"/>
        <v>-0.10932142857142857</v>
      </c>
      <c r="U49" s="379">
        <f t="shared" si="8"/>
        <v>-2.0120537485716739</v>
      </c>
      <c r="W49" s="494" t="s">
        <v>150</v>
      </c>
      <c r="X49" s="496">
        <f t="shared" si="9"/>
        <v>0</v>
      </c>
      <c r="Y49" s="496">
        <f t="shared" si="9"/>
        <v>0</v>
      </c>
      <c r="Z49" s="496">
        <f t="shared" si="9"/>
        <v>0</v>
      </c>
      <c r="AA49" s="496">
        <f t="shared" si="9"/>
        <v>0</v>
      </c>
      <c r="AB49" s="496">
        <f t="shared" si="9"/>
        <v>0</v>
      </c>
      <c r="AC49" s="496">
        <f t="shared" si="9"/>
        <v>0</v>
      </c>
      <c r="AD49" s="496">
        <f t="shared" si="9"/>
        <v>-0.40520307086200186</v>
      </c>
      <c r="AE49" s="496">
        <f t="shared" si="9"/>
        <v>-2.3280930324533582E-2</v>
      </c>
      <c r="AF49" s="496">
        <f t="shared" si="9"/>
        <v>-5.7868911213079403E-2</v>
      </c>
    </row>
    <row r="50" spans="1:32">
      <c r="A50" s="494" t="s">
        <v>151</v>
      </c>
      <c r="B50" s="379">
        <f t="shared" ref="B50:J50" si="10">SUM(B48:B49)</f>
        <v>19.205670833332814</v>
      </c>
      <c r="C50" s="379">
        <f t="shared" si="10"/>
        <v>17.967668566666418</v>
      </c>
      <c r="D50" s="379">
        <f t="shared" si="10"/>
        <v>14.345887816666623</v>
      </c>
      <c r="E50" s="379">
        <f t="shared" si="10"/>
        <v>13.404228276665993</v>
      </c>
      <c r="F50" s="379">
        <f t="shared" si="10"/>
        <v>10.402946259991618</v>
      </c>
      <c r="G50" s="379">
        <f t="shared" si="10"/>
        <v>9.0677271599873102</v>
      </c>
      <c r="H50" s="379">
        <f t="shared" si="10"/>
        <v>12.383998734491314</v>
      </c>
      <c r="I50" s="379">
        <f t="shared" si="10"/>
        <v>12.383998734491314</v>
      </c>
      <c r="J50" s="379">
        <f t="shared" si="10"/>
        <v>109.16212638229339</v>
      </c>
      <c r="L50" s="494" t="s">
        <v>151</v>
      </c>
      <c r="M50" s="379">
        <f t="shared" si="8"/>
        <v>0</v>
      </c>
      <c r="N50" s="379">
        <f t="shared" si="8"/>
        <v>0</v>
      </c>
      <c r="O50" s="379">
        <f t="shared" si="8"/>
        <v>0</v>
      </c>
      <c r="P50" s="379">
        <f t="shared" si="8"/>
        <v>0</v>
      </c>
      <c r="Q50" s="379">
        <f t="shared" si="8"/>
        <v>0</v>
      </c>
      <c r="R50" s="379">
        <f t="shared" si="8"/>
        <v>0</v>
      </c>
      <c r="S50" s="379">
        <f t="shared" si="8"/>
        <v>-3.5220145843881667</v>
      </c>
      <c r="T50" s="379">
        <f t="shared" si="8"/>
        <v>0.1082319667192877</v>
      </c>
      <c r="U50" s="379">
        <f t="shared" si="8"/>
        <v>-3.4137826176688435</v>
      </c>
      <c r="W50" s="494" t="s">
        <v>151</v>
      </c>
      <c r="X50" s="496">
        <f t="shared" si="9"/>
        <v>0</v>
      </c>
      <c r="Y50" s="496">
        <f t="shared" si="9"/>
        <v>0</v>
      </c>
      <c r="Z50" s="496">
        <f t="shared" si="9"/>
        <v>0</v>
      </c>
      <c r="AA50" s="496">
        <f t="shared" si="9"/>
        <v>0</v>
      </c>
      <c r="AB50" s="496">
        <f t="shared" si="9"/>
        <v>0</v>
      </c>
      <c r="AC50" s="496">
        <f t="shared" si="9"/>
        <v>0</v>
      </c>
      <c r="AD50" s="496">
        <f t="shared" si="9"/>
        <v>-0.2844004315487228</v>
      </c>
      <c r="AE50" s="496">
        <f t="shared" si="9"/>
        <v>8.7396622883887456E-3</v>
      </c>
      <c r="AF50" s="496">
        <f t="shared" si="9"/>
        <v>-3.1272591793545121E-2</v>
      </c>
    </row>
    <row r="52" spans="1:32" ht="15.4">
      <c r="A52" s="6" t="s">
        <v>158</v>
      </c>
      <c r="B52" s="5"/>
      <c r="C52" s="5"/>
      <c r="D52" s="6"/>
      <c r="E52" s="5"/>
      <c r="F52" s="483"/>
      <c r="G52" s="5"/>
      <c r="H52" s="5"/>
      <c r="I52" s="5"/>
      <c r="J52" s="5"/>
      <c r="L52" s="6" t="s">
        <v>107</v>
      </c>
      <c r="M52" s="5"/>
      <c r="N52" s="5"/>
      <c r="O52" s="6"/>
      <c r="P52" s="5"/>
      <c r="Q52" s="483"/>
      <c r="R52" s="5"/>
      <c r="S52" s="5"/>
      <c r="T52" s="5"/>
      <c r="U52" s="5"/>
      <c r="W52" s="6" t="s">
        <v>107</v>
      </c>
      <c r="X52" s="5"/>
      <c r="Y52" s="5"/>
      <c r="Z52" s="6"/>
      <c r="AA52" s="5"/>
      <c r="AB52" s="483"/>
      <c r="AC52" s="5"/>
      <c r="AD52" s="5"/>
      <c r="AE52" s="5"/>
      <c r="AF52" s="5"/>
    </row>
    <row r="53" spans="1:32">
      <c r="A53" s="5"/>
      <c r="B53" s="5"/>
      <c r="C53" s="5"/>
      <c r="D53" s="6"/>
      <c r="E53" s="5"/>
      <c r="F53" s="5"/>
      <c r="G53" s="5"/>
      <c r="H53" s="5"/>
      <c r="I53" s="5"/>
      <c r="J53" s="5"/>
      <c r="L53" s="5"/>
      <c r="M53" s="5"/>
      <c r="N53" s="5"/>
      <c r="O53" s="6"/>
      <c r="P53" s="5"/>
      <c r="Q53" s="5"/>
      <c r="R53" s="5"/>
      <c r="S53" s="5"/>
      <c r="T53" s="5"/>
      <c r="U53" s="5"/>
      <c r="W53" s="5"/>
      <c r="X53" s="5"/>
      <c r="Y53" s="5"/>
      <c r="Z53" s="6"/>
      <c r="AA53" s="5"/>
      <c r="AB53" s="5"/>
      <c r="AC53" s="5"/>
      <c r="AD53" s="5"/>
      <c r="AE53" s="5"/>
      <c r="AF53" s="5"/>
    </row>
    <row r="54" spans="1:32" ht="25.15">
      <c r="A54" s="21"/>
      <c r="B54" s="497" t="s">
        <v>106</v>
      </c>
      <c r="C54" s="5"/>
      <c r="D54" s="5"/>
      <c r="E54" s="5"/>
      <c r="F54" s="5"/>
      <c r="G54" s="5"/>
      <c r="H54" s="6"/>
      <c r="I54" s="5"/>
      <c r="J54" s="5"/>
      <c r="L54" s="6"/>
      <c r="M54" s="497" t="s">
        <v>106</v>
      </c>
      <c r="N54" s="5"/>
      <c r="O54" s="5"/>
      <c r="P54" s="5"/>
      <c r="Q54" s="5"/>
      <c r="R54" s="5"/>
      <c r="S54" s="6"/>
      <c r="T54" s="5"/>
      <c r="U54" s="5"/>
      <c r="W54" s="6"/>
      <c r="X54" s="497" t="s">
        <v>106</v>
      </c>
      <c r="Y54" s="5"/>
      <c r="Z54" s="5"/>
      <c r="AA54" s="5"/>
      <c r="AB54" s="5"/>
      <c r="AC54" s="5"/>
      <c r="AD54" s="6"/>
      <c r="AE54" s="5"/>
      <c r="AF54" s="5"/>
    </row>
    <row r="55" spans="1:32">
      <c r="A55" s="494" t="s">
        <v>155</v>
      </c>
      <c r="B55" s="379">
        <v>92.052008453166735</v>
      </c>
      <c r="C55" s="5"/>
      <c r="D55" s="5"/>
      <c r="E55" s="5"/>
      <c r="F55" s="5"/>
      <c r="G55" s="5"/>
      <c r="H55" s="6"/>
      <c r="I55" s="5"/>
      <c r="J55" s="5"/>
      <c r="L55" s="494" t="s">
        <v>149</v>
      </c>
      <c r="M55" s="379">
        <f>J39-B55</f>
        <v>-19.060776393301438</v>
      </c>
      <c r="N55" s="5"/>
      <c r="O55" s="5"/>
      <c r="P55" s="5"/>
      <c r="Q55" s="5"/>
      <c r="R55" s="5"/>
      <c r="S55" s="6"/>
      <c r="T55" s="5"/>
      <c r="U55" s="5"/>
      <c r="W55" s="494" t="s">
        <v>149</v>
      </c>
      <c r="X55" s="496">
        <f>M55/B55</f>
        <v>-0.20706529616894762</v>
      </c>
      <c r="Y55" s="5"/>
      <c r="Z55" s="5"/>
      <c r="AA55" s="5"/>
      <c r="AB55" s="5"/>
      <c r="AC55" s="5"/>
      <c r="AD55" s="6"/>
      <c r="AE55" s="5"/>
      <c r="AF55" s="5"/>
    </row>
    <row r="56" spans="1:32">
      <c r="A56" s="494" t="s">
        <v>156</v>
      </c>
      <c r="B56" s="379">
        <v>45.084611243214233</v>
      </c>
      <c r="L56" s="494" t="s">
        <v>150</v>
      </c>
      <c r="M56" s="379">
        <f>J40-B56</f>
        <v>-12.327499538455001</v>
      </c>
      <c r="W56" s="494" t="s">
        <v>150</v>
      </c>
      <c r="X56" s="496">
        <f>M56/B56</f>
        <v>-0.27343031687581504</v>
      </c>
    </row>
    <row r="57" spans="1:32">
      <c r="A57" s="494" t="s">
        <v>151</v>
      </c>
      <c r="B57" s="379">
        <v>137.13661969638096</v>
      </c>
      <c r="L57" s="494" t="s">
        <v>151</v>
      </c>
      <c r="M57" s="379">
        <f>J41-B57</f>
        <v>-31.388275931756411</v>
      </c>
      <c r="W57" s="494" t="s">
        <v>151</v>
      </c>
      <c r="X57" s="496">
        <f>M57/B57</f>
        <v>-0.22888325526215919</v>
      </c>
    </row>
    <row r="61" spans="1:32" ht="14.65">
      <c r="A61" s="482" t="s">
        <v>159</v>
      </c>
      <c r="B61" s="5"/>
      <c r="C61" s="5"/>
      <c r="D61" s="6"/>
      <c r="E61" s="5"/>
      <c r="F61" s="5"/>
      <c r="G61" s="5"/>
      <c r="H61" s="5"/>
      <c r="I61" s="5"/>
      <c r="J61" s="5"/>
    </row>
    <row r="62" spans="1:32">
      <c r="A62" s="5"/>
      <c r="B62" s="5"/>
      <c r="C62" s="5"/>
      <c r="D62" s="6"/>
      <c r="E62" s="5"/>
      <c r="F62" s="5"/>
      <c r="G62" s="5"/>
      <c r="H62" s="5"/>
      <c r="I62" s="5"/>
      <c r="J62" s="5"/>
    </row>
    <row r="63" spans="1:32" ht="15.4">
      <c r="A63" s="6" t="s">
        <v>160</v>
      </c>
      <c r="B63" s="5"/>
      <c r="C63" s="5"/>
      <c r="D63" s="6"/>
      <c r="E63" s="5"/>
      <c r="F63" s="483"/>
      <c r="G63" s="5"/>
      <c r="H63" s="5"/>
      <c r="I63" s="5"/>
      <c r="J63" s="5"/>
    </row>
    <row r="64" spans="1:32">
      <c r="A64" s="5"/>
      <c r="B64" s="5"/>
      <c r="C64" s="5"/>
      <c r="D64" s="6"/>
      <c r="E64" s="5"/>
      <c r="F64" s="5"/>
      <c r="G64" s="5"/>
      <c r="H64" s="5"/>
      <c r="I64" s="5"/>
      <c r="J64" s="5"/>
    </row>
    <row r="65" spans="1:32" ht="12.75" customHeight="1">
      <c r="A65" s="8"/>
      <c r="B65" s="318" t="s">
        <v>2</v>
      </c>
      <c r="C65" s="319"/>
      <c r="D65" s="319"/>
      <c r="E65" s="319"/>
      <c r="F65" s="319"/>
      <c r="G65" s="320"/>
      <c r="H65" s="321" t="s">
        <v>3</v>
      </c>
      <c r="I65" s="322" t="s">
        <v>4</v>
      </c>
      <c r="J65" s="321" t="s">
        <v>5</v>
      </c>
    </row>
    <row r="66" spans="1:32">
      <c r="A66" s="14"/>
      <c r="B66" s="325"/>
      <c r="C66" s="326"/>
      <c r="D66" s="326"/>
      <c r="E66" s="326"/>
      <c r="F66" s="326"/>
      <c r="G66" s="327"/>
      <c r="H66" s="328"/>
      <c r="I66" s="329"/>
      <c r="J66" s="397"/>
    </row>
    <row r="67" spans="1:32">
      <c r="A67" s="21"/>
      <c r="B67" s="332">
        <v>2014</v>
      </c>
      <c r="C67" s="401">
        <v>2015</v>
      </c>
      <c r="D67" s="401">
        <v>2016</v>
      </c>
      <c r="E67" s="402">
        <v>2017</v>
      </c>
      <c r="F67" s="401">
        <v>2018</v>
      </c>
      <c r="G67" s="402">
        <v>2019</v>
      </c>
      <c r="H67" s="401">
        <v>2020</v>
      </c>
      <c r="I67" s="403">
        <v>2021</v>
      </c>
      <c r="J67" s="328"/>
    </row>
    <row r="68" spans="1:32">
      <c r="A68" s="494" t="s">
        <v>161</v>
      </c>
      <c r="B68" s="379">
        <f>+B75</f>
        <v>15.8</v>
      </c>
      <c r="C68" s="379">
        <f>+C75</f>
        <v>5.23</v>
      </c>
      <c r="D68" s="379">
        <f>+D75</f>
        <v>4.54</v>
      </c>
      <c r="E68" s="379">
        <f t="shared" ref="E68" si="11">+E75</f>
        <v>3.89</v>
      </c>
      <c r="F68" s="379">
        <f>+F75</f>
        <v>4.18</v>
      </c>
      <c r="G68" s="379">
        <f>+G75</f>
        <v>2.92</v>
      </c>
      <c r="H68" s="378">
        <v>2.4300000000000002</v>
      </c>
      <c r="I68" s="378">
        <v>12</v>
      </c>
      <c r="J68" s="379">
        <f>SUM(B68:I68)</f>
        <v>50.99</v>
      </c>
    </row>
    <row r="70" spans="1:32" ht="15.4">
      <c r="A70" s="6" t="s">
        <v>162</v>
      </c>
      <c r="B70" s="5"/>
      <c r="C70" s="5"/>
      <c r="D70" s="6"/>
      <c r="E70" s="5"/>
      <c r="F70" s="483"/>
      <c r="G70" s="5"/>
      <c r="H70" s="5"/>
      <c r="I70" s="5"/>
      <c r="J70" s="5"/>
      <c r="L70" s="6" t="s">
        <v>48</v>
      </c>
      <c r="M70" s="5"/>
      <c r="N70" s="5"/>
      <c r="O70" s="6"/>
      <c r="P70" s="5"/>
      <c r="Q70" s="483"/>
      <c r="R70" s="5"/>
      <c r="S70" s="5"/>
      <c r="T70" s="5"/>
      <c r="U70" s="5"/>
      <c r="W70" s="6" t="s">
        <v>49</v>
      </c>
      <c r="X70" s="5"/>
      <c r="Y70" s="5"/>
      <c r="Z70" s="6"/>
      <c r="AA70" s="5"/>
      <c r="AB70" s="483"/>
      <c r="AC70" s="5"/>
      <c r="AD70" s="5"/>
      <c r="AE70" s="5"/>
      <c r="AF70" s="5"/>
    </row>
    <row r="71" spans="1:32">
      <c r="A71" s="5"/>
      <c r="B71" s="5"/>
      <c r="C71" s="5"/>
      <c r="D71" s="6"/>
      <c r="E71" s="5"/>
      <c r="F71" s="5"/>
      <c r="G71" s="5"/>
      <c r="H71" s="5"/>
      <c r="I71" s="5"/>
      <c r="J71" s="5"/>
      <c r="L71" s="5"/>
      <c r="M71" s="5"/>
      <c r="N71" s="5"/>
      <c r="O71" s="6"/>
      <c r="P71" s="5"/>
      <c r="Q71" s="5"/>
      <c r="R71" s="5"/>
      <c r="S71" s="5"/>
      <c r="T71" s="5"/>
      <c r="U71" s="5"/>
      <c r="W71" s="5"/>
      <c r="X71" s="5"/>
      <c r="Y71" s="5"/>
      <c r="Z71" s="6"/>
      <c r="AA71" s="5"/>
      <c r="AB71" s="5"/>
      <c r="AC71" s="5"/>
      <c r="AD71" s="5"/>
      <c r="AE71" s="5"/>
      <c r="AF71" s="5"/>
    </row>
    <row r="72" spans="1:32" ht="12.75" customHeight="1">
      <c r="A72" s="8"/>
      <c r="B72" s="318" t="s">
        <v>2</v>
      </c>
      <c r="C72" s="319"/>
      <c r="D72" s="319"/>
      <c r="E72" s="319"/>
      <c r="F72" s="319"/>
      <c r="G72" s="320"/>
      <c r="H72" s="391" t="s">
        <v>118</v>
      </c>
      <c r="I72" s="394"/>
      <c r="J72" s="321" t="s">
        <v>5</v>
      </c>
      <c r="L72" s="8"/>
      <c r="M72" s="318" t="s">
        <v>2</v>
      </c>
      <c r="N72" s="319"/>
      <c r="O72" s="319"/>
      <c r="P72" s="319"/>
      <c r="Q72" s="319"/>
      <c r="R72" s="320"/>
      <c r="S72" s="391" t="s">
        <v>4</v>
      </c>
      <c r="T72" s="394"/>
      <c r="U72" s="321" t="s">
        <v>5</v>
      </c>
      <c r="W72" s="8"/>
      <c r="X72" s="318" t="s">
        <v>2</v>
      </c>
      <c r="Y72" s="319"/>
      <c r="Z72" s="319"/>
      <c r="AA72" s="319"/>
      <c r="AB72" s="319"/>
      <c r="AC72" s="320"/>
      <c r="AD72" s="391" t="s">
        <v>4</v>
      </c>
      <c r="AE72" s="394"/>
      <c r="AF72" s="321" t="s">
        <v>5</v>
      </c>
    </row>
    <row r="73" spans="1:32">
      <c r="A73" s="14"/>
      <c r="B73" s="325"/>
      <c r="C73" s="326"/>
      <c r="D73" s="326"/>
      <c r="E73" s="326"/>
      <c r="F73" s="326"/>
      <c r="G73" s="327"/>
      <c r="H73" s="395"/>
      <c r="I73" s="399"/>
      <c r="J73" s="397"/>
      <c r="L73" s="14"/>
      <c r="M73" s="325"/>
      <c r="N73" s="326"/>
      <c r="O73" s="326"/>
      <c r="P73" s="326"/>
      <c r="Q73" s="326"/>
      <c r="R73" s="327"/>
      <c r="S73" s="395"/>
      <c r="T73" s="399"/>
      <c r="U73" s="397"/>
      <c r="W73" s="14"/>
      <c r="X73" s="325"/>
      <c r="Y73" s="326"/>
      <c r="Z73" s="326"/>
      <c r="AA73" s="326"/>
      <c r="AB73" s="326"/>
      <c r="AC73" s="327"/>
      <c r="AD73" s="395"/>
      <c r="AE73" s="399"/>
      <c r="AF73" s="397"/>
    </row>
    <row r="74" spans="1:32">
      <c r="A74" s="21"/>
      <c r="B74" s="332">
        <v>2014</v>
      </c>
      <c r="C74" s="401">
        <v>2015</v>
      </c>
      <c r="D74" s="401">
        <v>2016</v>
      </c>
      <c r="E74" s="402">
        <v>2017</v>
      </c>
      <c r="F74" s="401">
        <v>2018</v>
      </c>
      <c r="G74" s="402">
        <v>2019</v>
      </c>
      <c r="H74" s="401">
        <v>2020</v>
      </c>
      <c r="I74" s="403">
        <v>2021</v>
      </c>
      <c r="J74" s="328"/>
      <c r="L74" s="21"/>
      <c r="M74" s="332">
        <v>2014</v>
      </c>
      <c r="N74" s="401">
        <v>2015</v>
      </c>
      <c r="O74" s="401">
        <v>2016</v>
      </c>
      <c r="P74" s="402">
        <v>2017</v>
      </c>
      <c r="Q74" s="401">
        <v>2018</v>
      </c>
      <c r="R74" s="402">
        <v>2019</v>
      </c>
      <c r="S74" s="401">
        <v>2020</v>
      </c>
      <c r="T74" s="403">
        <v>2021</v>
      </c>
      <c r="U74" s="328"/>
      <c r="W74" s="21"/>
      <c r="X74" s="332">
        <v>2014</v>
      </c>
      <c r="Y74" s="401">
        <v>2015</v>
      </c>
      <c r="Z74" s="401">
        <v>2016</v>
      </c>
      <c r="AA74" s="402">
        <v>2017</v>
      </c>
      <c r="AB74" s="401">
        <v>2018</v>
      </c>
      <c r="AC74" s="402">
        <v>2019</v>
      </c>
      <c r="AD74" s="401">
        <v>2020</v>
      </c>
      <c r="AE74" s="403">
        <v>2021</v>
      </c>
      <c r="AF74" s="328"/>
    </row>
    <row r="75" spans="1:32">
      <c r="A75" s="494" t="s">
        <v>161</v>
      </c>
      <c r="B75" s="379">
        <v>15.8</v>
      </c>
      <c r="C75" s="379">
        <v>5.23</v>
      </c>
      <c r="D75" s="379">
        <v>4.54</v>
      </c>
      <c r="E75" s="379">
        <v>3.89</v>
      </c>
      <c r="F75" s="379">
        <v>4.18</v>
      </c>
      <c r="G75" s="379">
        <v>2.92</v>
      </c>
      <c r="H75" s="379">
        <v>12</v>
      </c>
      <c r="I75" s="379">
        <v>12</v>
      </c>
      <c r="J75" s="379">
        <f>SUM(B75:I75)</f>
        <v>60.56</v>
      </c>
      <c r="L75" s="494" t="s">
        <v>161</v>
      </c>
      <c r="M75" s="379">
        <f>B68-B75</f>
        <v>0</v>
      </c>
      <c r="N75" s="379">
        <f t="shared" ref="N75:U75" si="12">C68-C75</f>
        <v>0</v>
      </c>
      <c r="O75" s="379">
        <f t="shared" si="12"/>
        <v>0</v>
      </c>
      <c r="P75" s="379">
        <f t="shared" si="12"/>
        <v>0</v>
      </c>
      <c r="Q75" s="379">
        <f t="shared" si="12"/>
        <v>0</v>
      </c>
      <c r="R75" s="379">
        <f t="shared" si="12"/>
        <v>0</v>
      </c>
      <c r="S75" s="379">
        <f t="shared" si="12"/>
        <v>-9.57</v>
      </c>
      <c r="T75" s="379">
        <f t="shared" si="12"/>
        <v>0</v>
      </c>
      <c r="U75" s="379">
        <f t="shared" si="12"/>
        <v>-9.57</v>
      </c>
      <c r="W75" s="494" t="s">
        <v>161</v>
      </c>
      <c r="X75" s="496">
        <f>M75/B75</f>
        <v>0</v>
      </c>
      <c r="Y75" s="496">
        <f t="shared" ref="Y75:AF75" si="13">N75/C75</f>
        <v>0</v>
      </c>
      <c r="Z75" s="496">
        <f t="shared" si="13"/>
        <v>0</v>
      </c>
      <c r="AA75" s="496">
        <f t="shared" si="13"/>
        <v>0</v>
      </c>
      <c r="AB75" s="496">
        <f t="shared" si="13"/>
        <v>0</v>
      </c>
      <c r="AC75" s="496">
        <f t="shared" si="13"/>
        <v>0</v>
      </c>
      <c r="AD75" s="496">
        <f t="shared" si="13"/>
        <v>-0.79749999999999999</v>
      </c>
      <c r="AE75" s="496">
        <f t="shared" si="13"/>
        <v>0</v>
      </c>
      <c r="AF75" s="496">
        <f t="shared" si="13"/>
        <v>-0.15802509907529722</v>
      </c>
    </row>
    <row r="77" spans="1:32" ht="15.4">
      <c r="A77" s="6" t="s">
        <v>163</v>
      </c>
      <c r="B77" s="5"/>
      <c r="C77" s="5"/>
      <c r="D77" s="6"/>
      <c r="E77" s="5"/>
      <c r="F77" s="483"/>
      <c r="G77" s="5"/>
      <c r="H77" s="5"/>
      <c r="I77" s="5"/>
      <c r="J77" s="5"/>
      <c r="L77" s="6" t="s">
        <v>107</v>
      </c>
      <c r="M77" s="5"/>
      <c r="N77" s="5"/>
      <c r="O77" s="6"/>
      <c r="P77" s="5"/>
      <c r="Q77" s="483"/>
      <c r="R77" s="5"/>
      <c r="S77" s="5"/>
      <c r="T77" s="5"/>
      <c r="U77" s="5"/>
      <c r="W77" s="6" t="s">
        <v>108</v>
      </c>
      <c r="X77" s="5"/>
      <c r="Y77" s="5"/>
      <c r="Z77" s="6"/>
      <c r="AA77" s="5"/>
      <c r="AB77" s="483"/>
      <c r="AC77" s="5"/>
      <c r="AD77" s="5"/>
      <c r="AE77" s="5"/>
      <c r="AF77" s="5"/>
    </row>
    <row r="78" spans="1:32">
      <c r="A78" s="5"/>
      <c r="B78" s="5"/>
      <c r="C78" s="5"/>
      <c r="D78" s="6"/>
      <c r="E78" s="5"/>
      <c r="F78" s="5"/>
      <c r="G78" s="5"/>
      <c r="H78" s="5"/>
      <c r="I78" s="5"/>
      <c r="J78" s="5"/>
      <c r="L78" s="5"/>
      <c r="M78" s="5"/>
      <c r="N78" s="5"/>
      <c r="O78" s="6"/>
      <c r="P78" s="5"/>
      <c r="Q78" s="5"/>
      <c r="R78" s="5"/>
      <c r="S78" s="5"/>
      <c r="T78" s="5"/>
      <c r="U78" s="5"/>
      <c r="W78" s="5"/>
      <c r="X78" s="5"/>
      <c r="Y78" s="5"/>
      <c r="Z78" s="6"/>
      <c r="AA78" s="5"/>
      <c r="AB78" s="5"/>
      <c r="AC78" s="5"/>
      <c r="AD78" s="5"/>
      <c r="AE78" s="5"/>
      <c r="AF78" s="5"/>
    </row>
    <row r="79" spans="1:32" ht="12.75" customHeight="1">
      <c r="A79" s="8"/>
      <c r="B79" s="542" t="s">
        <v>164</v>
      </c>
      <c r="C79" s="543"/>
      <c r="D79" s="543"/>
      <c r="E79" s="543"/>
      <c r="F79" s="543"/>
      <c r="G79" s="543"/>
      <c r="H79" s="543"/>
      <c r="I79" s="543"/>
      <c r="J79" s="544"/>
      <c r="L79" s="8"/>
      <c r="M79" s="542" t="s">
        <v>164</v>
      </c>
      <c r="N79" s="543"/>
      <c r="O79" s="543"/>
      <c r="P79" s="543"/>
      <c r="Q79" s="543"/>
      <c r="R79" s="543"/>
      <c r="S79" s="543"/>
      <c r="T79" s="543"/>
      <c r="U79" s="544"/>
      <c r="W79" s="8"/>
      <c r="X79" s="542" t="s">
        <v>164</v>
      </c>
      <c r="Y79" s="543"/>
      <c r="Z79" s="543"/>
      <c r="AA79" s="543"/>
      <c r="AB79" s="543"/>
      <c r="AC79" s="543"/>
      <c r="AD79" s="543"/>
      <c r="AE79" s="543"/>
      <c r="AF79" s="544"/>
    </row>
    <row r="80" spans="1:32">
      <c r="A80" s="21"/>
      <c r="B80" s="332">
        <v>2014</v>
      </c>
      <c r="C80" s="401">
        <v>2015</v>
      </c>
      <c r="D80" s="401">
        <v>2016</v>
      </c>
      <c r="E80" s="402">
        <v>2017</v>
      </c>
      <c r="F80" s="401">
        <v>2018</v>
      </c>
      <c r="G80" s="402">
        <v>2019</v>
      </c>
      <c r="H80" s="401">
        <v>2020</v>
      </c>
      <c r="I80" s="403">
        <v>2021</v>
      </c>
      <c r="J80" s="449" t="s">
        <v>64</v>
      </c>
      <c r="L80" s="21"/>
      <c r="M80" s="332">
        <v>2014</v>
      </c>
      <c r="N80" s="401">
        <v>2015</v>
      </c>
      <c r="O80" s="401">
        <v>2016</v>
      </c>
      <c r="P80" s="402">
        <v>2017</v>
      </c>
      <c r="Q80" s="401">
        <v>2018</v>
      </c>
      <c r="R80" s="402">
        <v>2019</v>
      </c>
      <c r="S80" s="401">
        <v>2020</v>
      </c>
      <c r="T80" s="403">
        <v>2021</v>
      </c>
      <c r="U80" s="449" t="s">
        <v>64</v>
      </c>
      <c r="W80" s="21"/>
      <c r="X80" s="332">
        <v>2014</v>
      </c>
      <c r="Y80" s="401">
        <v>2015</v>
      </c>
      <c r="Z80" s="401">
        <v>2016</v>
      </c>
      <c r="AA80" s="402">
        <v>2017</v>
      </c>
      <c r="AB80" s="401">
        <v>2018</v>
      </c>
      <c r="AC80" s="402">
        <v>2019</v>
      </c>
      <c r="AD80" s="401">
        <v>2020</v>
      </c>
      <c r="AE80" s="403">
        <v>2021</v>
      </c>
      <c r="AF80" s="449" t="s">
        <v>64</v>
      </c>
    </row>
    <row r="81" spans="1:32">
      <c r="A81" s="494" t="s">
        <v>161</v>
      </c>
      <c r="B81" s="379">
        <v>181</v>
      </c>
      <c r="C81" s="379">
        <v>168</v>
      </c>
      <c r="D81" s="379">
        <v>153</v>
      </c>
      <c r="E81" s="379">
        <v>141</v>
      </c>
      <c r="F81" s="379">
        <v>161</v>
      </c>
      <c r="G81" s="379">
        <v>182</v>
      </c>
      <c r="H81" s="379">
        <v>202</v>
      </c>
      <c r="I81" s="379">
        <v>223</v>
      </c>
      <c r="J81" s="379">
        <f>SUM(B81:I81)</f>
        <v>1411</v>
      </c>
      <c r="L81" s="494" t="s">
        <v>161</v>
      </c>
      <c r="M81" s="379">
        <f t="shared" ref="M81:U81" si="14">B68-B81</f>
        <v>-165.2</v>
      </c>
      <c r="N81" s="379">
        <f t="shared" si="14"/>
        <v>-162.77000000000001</v>
      </c>
      <c r="O81" s="379">
        <f t="shared" si="14"/>
        <v>-148.46</v>
      </c>
      <c r="P81" s="379">
        <f t="shared" si="14"/>
        <v>-137.11000000000001</v>
      </c>
      <c r="Q81" s="379">
        <f t="shared" si="14"/>
        <v>-156.82</v>
      </c>
      <c r="R81" s="379">
        <f t="shared" si="14"/>
        <v>-179.08</v>
      </c>
      <c r="S81" s="379">
        <f t="shared" si="14"/>
        <v>-199.57</v>
      </c>
      <c r="T81" s="379">
        <f t="shared" si="14"/>
        <v>-211</v>
      </c>
      <c r="U81" s="379">
        <f t="shared" si="14"/>
        <v>-1360.01</v>
      </c>
      <c r="W81" s="494" t="s">
        <v>161</v>
      </c>
      <c r="X81" s="496">
        <f t="shared" ref="X81:AF81" si="15">M81/B81</f>
        <v>-0.9127071823204419</v>
      </c>
      <c r="Y81" s="496">
        <f t="shared" si="15"/>
        <v>-0.96886904761904769</v>
      </c>
      <c r="Z81" s="496">
        <f t="shared" si="15"/>
        <v>-0.970326797385621</v>
      </c>
      <c r="AA81" s="496">
        <f t="shared" si="15"/>
        <v>-0.97241134751773062</v>
      </c>
      <c r="AB81" s="496">
        <f t="shared" si="15"/>
        <v>-0.97403726708074534</v>
      </c>
      <c r="AC81" s="496">
        <f t="shared" si="15"/>
        <v>-0.98395604395604408</v>
      </c>
      <c r="AD81" s="496">
        <f t="shared" si="15"/>
        <v>-0.98797029702970296</v>
      </c>
      <c r="AE81" s="496">
        <f t="shared" si="15"/>
        <v>-0.94618834080717484</v>
      </c>
      <c r="AF81" s="496">
        <f t="shared" si="15"/>
        <v>-0.96386250885896529</v>
      </c>
    </row>
    <row r="84" spans="1:32" ht="14.65">
      <c r="A84" s="482" t="s">
        <v>165</v>
      </c>
    </row>
    <row r="86" spans="1:32" ht="27.75" customHeight="1">
      <c r="A86" s="545" t="s">
        <v>166</v>
      </c>
      <c r="B86" s="545"/>
      <c r="C86" s="545"/>
      <c r="D86" s="545"/>
      <c r="E86" s="545"/>
      <c r="F86" s="545"/>
      <c r="G86" s="545"/>
      <c r="H86" s="545"/>
      <c r="I86" s="545"/>
      <c r="J86" s="545"/>
    </row>
    <row r="87" spans="1:32">
      <c r="A87" s="5"/>
      <c r="B87" s="5"/>
      <c r="C87" s="5"/>
      <c r="D87" s="6"/>
      <c r="E87" s="5"/>
      <c r="F87" s="5"/>
      <c r="G87" s="5"/>
      <c r="H87" s="5"/>
      <c r="I87" s="5"/>
      <c r="J87" s="5"/>
    </row>
    <row r="88" spans="1:32" ht="12.75" customHeight="1">
      <c r="A88" s="8"/>
      <c r="B88" s="318" t="s">
        <v>2</v>
      </c>
      <c r="C88" s="319"/>
      <c r="D88" s="319"/>
      <c r="E88" s="319"/>
      <c r="F88" s="319"/>
      <c r="G88" s="320"/>
      <c r="H88" s="321" t="s">
        <v>3</v>
      </c>
      <c r="I88" s="322" t="s">
        <v>4</v>
      </c>
      <c r="J88" s="321" t="s">
        <v>5</v>
      </c>
    </row>
    <row r="89" spans="1:32">
      <c r="A89" s="14"/>
      <c r="B89" s="325"/>
      <c r="C89" s="326"/>
      <c r="D89" s="326"/>
      <c r="E89" s="326"/>
      <c r="F89" s="326"/>
      <c r="G89" s="327"/>
      <c r="H89" s="328"/>
      <c r="I89" s="329"/>
      <c r="J89" s="397"/>
    </row>
    <row r="90" spans="1:32">
      <c r="A90" s="21"/>
      <c r="B90" s="332">
        <v>2014</v>
      </c>
      <c r="C90" s="401">
        <v>2015</v>
      </c>
      <c r="D90" s="401">
        <v>2016</v>
      </c>
      <c r="E90" s="402">
        <v>2017</v>
      </c>
      <c r="F90" s="401">
        <v>2018</v>
      </c>
      <c r="G90" s="402">
        <v>2019</v>
      </c>
      <c r="H90" s="401">
        <v>2020</v>
      </c>
      <c r="I90" s="403">
        <v>2021</v>
      </c>
      <c r="J90" s="328"/>
    </row>
    <row r="91" spans="1:32">
      <c r="A91" s="494" t="s">
        <v>167</v>
      </c>
      <c r="B91" s="546">
        <f>+B98</f>
        <v>6.2E-2</v>
      </c>
      <c r="C91" s="546">
        <f>+C98</f>
        <v>5.7000000000000002E-2</v>
      </c>
      <c r="D91" s="546">
        <f>+D98</f>
        <v>4.9882352941176503E-2</v>
      </c>
      <c r="E91" s="546">
        <f t="shared" ref="E91:G91" si="16">+E98</f>
        <v>4.5999999999999999E-2</v>
      </c>
      <c r="F91" s="546">
        <f t="shared" si="16"/>
        <v>5.0369999999999998E-2</v>
      </c>
      <c r="G91" s="546">
        <f t="shared" si="16"/>
        <v>5.9049999999999998E-2</v>
      </c>
      <c r="H91" s="532">
        <v>5.0999999999999997E-2</v>
      </c>
      <c r="I91" s="532">
        <v>7.8E-2</v>
      </c>
      <c r="J91" s="546">
        <f>SUM(B91:I91)</f>
        <v>0.45330235294117643</v>
      </c>
    </row>
    <row r="93" spans="1:32" ht="31.5" customHeight="1">
      <c r="A93" s="545" t="s">
        <v>168</v>
      </c>
      <c r="B93" s="545"/>
      <c r="C93" s="545"/>
      <c r="D93" s="545"/>
      <c r="E93" s="545"/>
      <c r="F93" s="545"/>
      <c r="G93" s="545"/>
      <c r="H93" s="545"/>
      <c r="I93" s="545"/>
      <c r="J93" s="545"/>
      <c r="L93" s="545" t="s">
        <v>48</v>
      </c>
      <c r="M93" s="545"/>
      <c r="N93" s="545"/>
      <c r="O93" s="545"/>
      <c r="P93" s="545"/>
      <c r="Q93" s="545"/>
      <c r="R93" s="545"/>
      <c r="S93" s="545"/>
      <c r="T93" s="545"/>
      <c r="U93" s="545"/>
      <c r="W93" s="545" t="s">
        <v>49</v>
      </c>
      <c r="X93" s="545"/>
      <c r="Y93" s="545"/>
      <c r="Z93" s="545"/>
      <c r="AA93" s="545"/>
      <c r="AB93" s="545"/>
      <c r="AC93" s="545"/>
      <c r="AD93" s="545"/>
      <c r="AE93" s="545"/>
      <c r="AF93" s="545"/>
    </row>
    <row r="94" spans="1:32">
      <c r="A94" s="5"/>
      <c r="B94" s="5"/>
      <c r="C94" s="5"/>
      <c r="D94" s="6"/>
      <c r="E94" s="5"/>
      <c r="F94" s="5"/>
      <c r="G94" s="5"/>
      <c r="H94" s="5"/>
      <c r="I94" s="5"/>
      <c r="J94" s="5"/>
      <c r="L94" s="5"/>
      <c r="M94" s="5"/>
      <c r="N94" s="5"/>
      <c r="O94" s="6"/>
      <c r="P94" s="5"/>
      <c r="Q94" s="5"/>
      <c r="R94" s="5"/>
      <c r="S94" s="5"/>
      <c r="T94" s="5"/>
      <c r="U94" s="5"/>
      <c r="W94" s="5"/>
      <c r="X94" s="5"/>
      <c r="Y94" s="5"/>
      <c r="Z94" s="6"/>
      <c r="AA94" s="5"/>
      <c r="AB94" s="5"/>
      <c r="AC94" s="5"/>
      <c r="AD94" s="5"/>
      <c r="AE94" s="5"/>
      <c r="AF94" s="5"/>
    </row>
    <row r="95" spans="1:32" ht="12.75" customHeight="1">
      <c r="A95" s="8"/>
      <c r="B95" s="318" t="s">
        <v>2</v>
      </c>
      <c r="C95" s="319"/>
      <c r="D95" s="319"/>
      <c r="E95" s="319"/>
      <c r="F95" s="319"/>
      <c r="G95" s="320"/>
      <c r="H95" s="391" t="s">
        <v>118</v>
      </c>
      <c r="I95" s="394"/>
      <c r="J95" s="321" t="s">
        <v>5</v>
      </c>
      <c r="L95" s="8"/>
      <c r="M95" s="318" t="s">
        <v>2</v>
      </c>
      <c r="N95" s="319"/>
      <c r="O95" s="319"/>
      <c r="P95" s="319"/>
      <c r="Q95" s="319"/>
      <c r="R95" s="320"/>
      <c r="S95" s="391" t="s">
        <v>4</v>
      </c>
      <c r="T95" s="394"/>
      <c r="U95" s="321" t="s">
        <v>5</v>
      </c>
      <c r="W95" s="8"/>
      <c r="X95" s="318" t="s">
        <v>2</v>
      </c>
      <c r="Y95" s="319"/>
      <c r="Z95" s="319"/>
      <c r="AA95" s="319"/>
      <c r="AB95" s="319"/>
      <c r="AC95" s="320"/>
      <c r="AD95" s="391" t="s">
        <v>4</v>
      </c>
      <c r="AE95" s="394"/>
      <c r="AF95" s="321" t="s">
        <v>5</v>
      </c>
    </row>
    <row r="96" spans="1:32">
      <c r="A96" s="14"/>
      <c r="B96" s="325"/>
      <c r="C96" s="326"/>
      <c r="D96" s="326"/>
      <c r="E96" s="326"/>
      <c r="F96" s="326"/>
      <c r="G96" s="327"/>
      <c r="H96" s="395"/>
      <c r="I96" s="399"/>
      <c r="J96" s="397"/>
      <c r="L96" s="14"/>
      <c r="M96" s="325"/>
      <c r="N96" s="326"/>
      <c r="O96" s="326"/>
      <c r="P96" s="326"/>
      <c r="Q96" s="326"/>
      <c r="R96" s="327"/>
      <c r="S96" s="395"/>
      <c r="T96" s="399"/>
      <c r="U96" s="397"/>
      <c r="W96" s="14"/>
      <c r="X96" s="325"/>
      <c r="Y96" s="326"/>
      <c r="Z96" s="326"/>
      <c r="AA96" s="326"/>
      <c r="AB96" s="326"/>
      <c r="AC96" s="327"/>
      <c r="AD96" s="395"/>
      <c r="AE96" s="399"/>
      <c r="AF96" s="397"/>
    </row>
    <row r="97" spans="1:32">
      <c r="A97" s="21"/>
      <c r="B97" s="332">
        <v>2014</v>
      </c>
      <c r="C97" s="401">
        <v>2015</v>
      </c>
      <c r="D97" s="401">
        <v>2016</v>
      </c>
      <c r="E97" s="402">
        <v>2017</v>
      </c>
      <c r="F97" s="401">
        <v>2018</v>
      </c>
      <c r="G97" s="402">
        <v>2019</v>
      </c>
      <c r="H97" s="401">
        <v>2020</v>
      </c>
      <c r="I97" s="403">
        <v>2021</v>
      </c>
      <c r="J97" s="328"/>
      <c r="L97" s="21"/>
      <c r="M97" s="332">
        <v>2014</v>
      </c>
      <c r="N97" s="401">
        <v>2015</v>
      </c>
      <c r="O97" s="401">
        <v>2016</v>
      </c>
      <c r="P97" s="402">
        <v>2017</v>
      </c>
      <c r="Q97" s="401">
        <v>2018</v>
      </c>
      <c r="R97" s="402">
        <v>2019</v>
      </c>
      <c r="S97" s="401">
        <v>2020</v>
      </c>
      <c r="T97" s="403">
        <v>2021</v>
      </c>
      <c r="U97" s="328"/>
      <c r="W97" s="21"/>
      <c r="X97" s="332">
        <v>2014</v>
      </c>
      <c r="Y97" s="401">
        <v>2015</v>
      </c>
      <c r="Z97" s="401">
        <v>2016</v>
      </c>
      <c r="AA97" s="402">
        <v>2017</v>
      </c>
      <c r="AB97" s="401">
        <v>2018</v>
      </c>
      <c r="AC97" s="402">
        <v>2019</v>
      </c>
      <c r="AD97" s="401">
        <v>2020</v>
      </c>
      <c r="AE97" s="403">
        <v>2021</v>
      </c>
      <c r="AF97" s="328"/>
    </row>
    <row r="98" spans="1:32">
      <c r="A98" s="494" t="s">
        <v>167</v>
      </c>
      <c r="B98" s="546">
        <v>6.2E-2</v>
      </c>
      <c r="C98" s="546">
        <v>5.7000000000000002E-2</v>
      </c>
      <c r="D98" s="546">
        <v>4.9882352941176503E-2</v>
      </c>
      <c r="E98" s="546">
        <v>4.5999999999999999E-2</v>
      </c>
      <c r="F98" s="546">
        <v>5.0369999999999998E-2</v>
      </c>
      <c r="G98" s="546">
        <v>5.9049999999999998E-2</v>
      </c>
      <c r="H98" s="546">
        <v>7.6014431999999993E-2</v>
      </c>
      <c r="I98" s="546">
        <v>7.7990807231999998E-2</v>
      </c>
      <c r="J98" s="546">
        <f>SUM(B98:I98)</f>
        <v>0.47830759217317642</v>
      </c>
      <c r="L98" s="494" t="s">
        <v>167</v>
      </c>
      <c r="M98" s="547">
        <f>B91-B98</f>
        <v>0</v>
      </c>
      <c r="N98" s="547">
        <f t="shared" ref="N98:T98" si="17">C91-C98</f>
        <v>0</v>
      </c>
      <c r="O98" s="547">
        <f t="shared" si="17"/>
        <v>0</v>
      </c>
      <c r="P98" s="547">
        <f t="shared" si="17"/>
        <v>0</v>
      </c>
      <c r="Q98" s="547">
        <f t="shared" si="17"/>
        <v>0</v>
      </c>
      <c r="R98" s="547">
        <f t="shared" si="17"/>
        <v>0</v>
      </c>
      <c r="S98" s="547">
        <f t="shared" si="17"/>
        <v>-2.5014431999999996E-2</v>
      </c>
      <c r="T98" s="547">
        <f t="shared" si="17"/>
        <v>9.1927680000020162E-6</v>
      </c>
      <c r="U98" s="379"/>
      <c r="W98" s="494" t="s">
        <v>167</v>
      </c>
      <c r="X98" s="496">
        <f t="shared" ref="X98:AE98" si="18">M98/B98</f>
        <v>0</v>
      </c>
      <c r="Y98" s="496">
        <f t="shared" si="18"/>
        <v>0</v>
      </c>
      <c r="Z98" s="496">
        <f t="shared" si="18"/>
        <v>0</v>
      </c>
      <c r="AA98" s="496">
        <f t="shared" si="18"/>
        <v>0</v>
      </c>
      <c r="AB98" s="496">
        <f t="shared" si="18"/>
        <v>0</v>
      </c>
      <c r="AC98" s="496">
        <f t="shared" si="18"/>
        <v>0</v>
      </c>
      <c r="AD98" s="496">
        <f t="shared" si="18"/>
        <v>-0.32907477359036241</v>
      </c>
      <c r="AE98" s="496">
        <f t="shared" si="18"/>
        <v>1.1786989167397898E-4</v>
      </c>
      <c r="AF98" s="496"/>
    </row>
    <row r="100" spans="1:32" ht="27.75" customHeight="1">
      <c r="A100" s="545" t="s">
        <v>169</v>
      </c>
      <c r="B100" s="545"/>
      <c r="C100" s="545"/>
      <c r="D100" s="545"/>
      <c r="E100" s="545"/>
      <c r="F100" s="545"/>
      <c r="G100" s="545"/>
      <c r="H100" s="545"/>
      <c r="I100" s="545"/>
      <c r="J100" s="545"/>
      <c r="L100" s="545" t="s">
        <v>107</v>
      </c>
      <c r="M100" s="545"/>
      <c r="N100" s="545"/>
      <c r="O100" s="545"/>
      <c r="P100" s="545"/>
      <c r="Q100" s="545"/>
      <c r="R100" s="545"/>
      <c r="S100" s="545"/>
      <c r="T100" s="545"/>
      <c r="U100" s="545"/>
      <c r="W100" s="545" t="s">
        <v>108</v>
      </c>
      <c r="X100" s="545"/>
      <c r="Y100" s="545"/>
      <c r="Z100" s="545"/>
      <c r="AA100" s="545"/>
      <c r="AB100" s="545"/>
      <c r="AC100" s="545"/>
      <c r="AD100" s="545"/>
      <c r="AE100" s="545"/>
      <c r="AF100" s="545"/>
    </row>
    <row r="101" spans="1:32">
      <c r="A101" s="5"/>
      <c r="B101" s="5"/>
      <c r="C101" s="5"/>
      <c r="D101" s="6"/>
      <c r="E101" s="5"/>
      <c r="F101" s="5"/>
      <c r="G101" s="5"/>
      <c r="H101" s="5"/>
      <c r="I101" s="5"/>
      <c r="J101" s="5"/>
      <c r="L101" s="5"/>
      <c r="M101" s="5"/>
      <c r="N101" s="5"/>
      <c r="O101" s="6"/>
      <c r="P101" s="5"/>
      <c r="Q101" s="5"/>
      <c r="R101" s="5"/>
      <c r="S101" s="5"/>
      <c r="T101" s="5"/>
      <c r="U101" s="5"/>
      <c r="W101" s="5"/>
      <c r="X101" s="5"/>
      <c r="Y101" s="5"/>
      <c r="Z101" s="6"/>
      <c r="AA101" s="5"/>
      <c r="AB101" s="5"/>
      <c r="AC101" s="5"/>
      <c r="AD101" s="5"/>
      <c r="AE101" s="5"/>
      <c r="AF101" s="5"/>
    </row>
    <row r="102" spans="1:32" ht="12.75" customHeight="1">
      <c r="A102" s="8"/>
      <c r="B102" s="542" t="s">
        <v>164</v>
      </c>
      <c r="C102" s="543"/>
      <c r="D102" s="543"/>
      <c r="E102" s="543"/>
      <c r="F102" s="543"/>
      <c r="G102" s="543"/>
      <c r="H102" s="543"/>
      <c r="I102" s="543"/>
      <c r="J102" s="544"/>
      <c r="L102" s="8"/>
      <c r="M102" s="542" t="s">
        <v>164</v>
      </c>
      <c r="N102" s="543"/>
      <c r="O102" s="543"/>
      <c r="P102" s="543"/>
      <c r="Q102" s="543"/>
      <c r="R102" s="543"/>
      <c r="S102" s="543"/>
      <c r="T102" s="543"/>
      <c r="U102" s="544"/>
      <c r="W102" s="8"/>
      <c r="X102" s="542" t="s">
        <v>164</v>
      </c>
      <c r="Y102" s="543"/>
      <c r="Z102" s="543"/>
      <c r="AA102" s="543"/>
      <c r="AB102" s="543"/>
      <c r="AC102" s="543"/>
      <c r="AD102" s="543"/>
      <c r="AE102" s="543"/>
      <c r="AF102" s="544"/>
    </row>
    <row r="103" spans="1:32">
      <c r="A103" s="21"/>
      <c r="B103" s="332">
        <v>2014</v>
      </c>
      <c r="C103" s="401">
        <v>2015</v>
      </c>
      <c r="D103" s="401">
        <v>2016</v>
      </c>
      <c r="E103" s="402">
        <v>2017</v>
      </c>
      <c r="F103" s="401">
        <v>2018</v>
      </c>
      <c r="G103" s="402">
        <v>2019</v>
      </c>
      <c r="H103" s="401">
        <v>2020</v>
      </c>
      <c r="I103" s="403">
        <v>2021</v>
      </c>
      <c r="J103" s="449" t="s">
        <v>64</v>
      </c>
      <c r="L103" s="21"/>
      <c r="M103" s="332">
        <v>2014</v>
      </c>
      <c r="N103" s="401">
        <v>2015</v>
      </c>
      <c r="O103" s="401">
        <v>2016</v>
      </c>
      <c r="P103" s="402">
        <v>2017</v>
      </c>
      <c r="Q103" s="401">
        <v>2018</v>
      </c>
      <c r="R103" s="402">
        <v>2019</v>
      </c>
      <c r="S103" s="401">
        <v>2020</v>
      </c>
      <c r="T103" s="403">
        <v>2021</v>
      </c>
      <c r="U103" s="449" t="s">
        <v>64</v>
      </c>
      <c r="W103" s="21"/>
      <c r="X103" s="332">
        <v>2014</v>
      </c>
      <c r="Y103" s="401">
        <v>2015</v>
      </c>
      <c r="Z103" s="401">
        <v>2016</v>
      </c>
      <c r="AA103" s="402">
        <v>2017</v>
      </c>
      <c r="AB103" s="401">
        <v>2018</v>
      </c>
      <c r="AC103" s="402">
        <v>2019</v>
      </c>
      <c r="AD103" s="401">
        <v>2020</v>
      </c>
      <c r="AE103" s="403">
        <v>2021</v>
      </c>
      <c r="AF103" s="449" t="s">
        <v>64</v>
      </c>
    </row>
    <row r="104" spans="1:32">
      <c r="A104" s="494" t="s">
        <v>167</v>
      </c>
      <c r="B104" s="548">
        <v>7.2999999999999995E-2</v>
      </c>
      <c r="C104" s="548">
        <v>7.1999999999999995E-2</v>
      </c>
      <c r="D104" s="548">
        <v>7.0999999999999994E-2</v>
      </c>
      <c r="E104" s="548">
        <v>7.0000000000000007E-2</v>
      </c>
      <c r="F104" s="548">
        <v>7.1999999999999995E-2</v>
      </c>
      <c r="G104" s="548">
        <v>7.3999999999999996E-2</v>
      </c>
      <c r="H104" s="548">
        <v>7.5999999999999998E-2</v>
      </c>
      <c r="I104" s="548">
        <v>7.8E-2</v>
      </c>
      <c r="J104" s="546">
        <f>SUM(B104:I104)</f>
        <v>0.58599999999999997</v>
      </c>
      <c r="L104" s="494" t="s">
        <v>167</v>
      </c>
      <c r="M104" s="547">
        <f>+B91-B104</f>
        <v>-1.0999999999999996E-2</v>
      </c>
      <c r="N104" s="547">
        <f t="shared" ref="N104:T104" si="19">+C91-C104</f>
        <v>-1.4999999999999993E-2</v>
      </c>
      <c r="O104" s="547">
        <f t="shared" si="19"/>
        <v>-2.1117647058823491E-2</v>
      </c>
      <c r="P104" s="547">
        <f t="shared" si="19"/>
        <v>-2.4000000000000007E-2</v>
      </c>
      <c r="Q104" s="547">
        <f t="shared" si="19"/>
        <v>-2.1629999999999996E-2</v>
      </c>
      <c r="R104" s="547">
        <f t="shared" si="19"/>
        <v>-1.4949999999999998E-2</v>
      </c>
      <c r="S104" s="547">
        <f t="shared" si="19"/>
        <v>-2.5000000000000001E-2</v>
      </c>
      <c r="T104" s="547">
        <f t="shared" si="19"/>
        <v>0</v>
      </c>
      <c r="U104" s="379"/>
      <c r="W104" s="494" t="s">
        <v>167</v>
      </c>
      <c r="X104" s="496">
        <f t="shared" ref="X104:AE104" si="20">M104/B104</f>
        <v>-0.15068493150684928</v>
      </c>
      <c r="Y104" s="496">
        <f t="shared" si="20"/>
        <v>-0.20833333333333323</v>
      </c>
      <c r="Z104" s="496">
        <f t="shared" si="20"/>
        <v>-0.29743164871582384</v>
      </c>
      <c r="AA104" s="496">
        <f t="shared" si="20"/>
        <v>-0.34285714285714292</v>
      </c>
      <c r="AB104" s="496">
        <f t="shared" si="20"/>
        <v>-0.30041666666666667</v>
      </c>
      <c r="AC104" s="496">
        <f t="shared" si="20"/>
        <v>-0.20202702702702702</v>
      </c>
      <c r="AD104" s="496">
        <f t="shared" si="20"/>
        <v>-0.32894736842105265</v>
      </c>
      <c r="AE104" s="496">
        <f t="shared" si="20"/>
        <v>0</v>
      </c>
      <c r="AF104" s="496"/>
    </row>
    <row r="107" spans="1:32" ht="12.75" customHeight="1">
      <c r="A107" s="482" t="s">
        <v>170</v>
      </c>
      <c r="B107" s="482"/>
      <c r="C107" s="482"/>
      <c r="D107" s="482"/>
      <c r="E107" s="482"/>
      <c r="F107" s="482"/>
      <c r="G107" s="482"/>
      <c r="H107" s="482"/>
      <c r="I107" s="482"/>
      <c r="J107" s="482"/>
    </row>
    <row r="109" spans="1:32" ht="12.75" customHeight="1">
      <c r="A109" s="8"/>
      <c r="B109" s="318" t="s">
        <v>2</v>
      </c>
      <c r="C109" s="319"/>
      <c r="D109" s="319"/>
      <c r="E109" s="319"/>
      <c r="F109" s="319"/>
      <c r="G109" s="320"/>
      <c r="H109" s="321" t="s">
        <v>3</v>
      </c>
      <c r="I109" s="322" t="s">
        <v>4</v>
      </c>
    </row>
    <row r="110" spans="1:32">
      <c r="A110" s="14"/>
      <c r="B110" s="325"/>
      <c r="C110" s="326"/>
      <c r="D110" s="326"/>
      <c r="E110" s="326"/>
      <c r="F110" s="326"/>
      <c r="G110" s="327"/>
      <c r="H110" s="328"/>
      <c r="I110" s="329"/>
    </row>
    <row r="111" spans="1:32">
      <c r="A111" s="21"/>
      <c r="B111" s="332">
        <v>2014</v>
      </c>
      <c r="C111" s="401">
        <v>2015</v>
      </c>
      <c r="D111" s="401">
        <v>2016</v>
      </c>
      <c r="E111" s="402">
        <v>2017</v>
      </c>
      <c r="F111" s="401">
        <v>2018</v>
      </c>
      <c r="G111" s="402">
        <v>2019</v>
      </c>
      <c r="H111" s="401">
        <v>2020</v>
      </c>
      <c r="I111" s="403">
        <v>2021</v>
      </c>
    </row>
    <row r="112" spans="1:32">
      <c r="A112" s="486" t="s">
        <v>171</v>
      </c>
      <c r="B112" s="379">
        <v>11.716009593464564</v>
      </c>
      <c r="C112" s="379">
        <v>11.716009593464564</v>
      </c>
      <c r="D112" s="379">
        <v>12.59</v>
      </c>
      <c r="E112" s="379">
        <v>0</v>
      </c>
      <c r="F112" s="379">
        <v>0</v>
      </c>
      <c r="G112" s="379">
        <v>19.5</v>
      </c>
      <c r="H112" s="378">
        <v>0</v>
      </c>
      <c r="I112" s="378">
        <v>67</v>
      </c>
    </row>
    <row r="113" spans="1:12">
      <c r="A113" s="494" t="s">
        <v>172</v>
      </c>
      <c r="B113" s="379">
        <v>62420</v>
      </c>
      <c r="C113" s="379">
        <v>62420</v>
      </c>
      <c r="D113" s="379">
        <v>57846</v>
      </c>
      <c r="E113" s="379">
        <v>66050</v>
      </c>
      <c r="F113" s="379">
        <v>67798</v>
      </c>
      <c r="G113" s="379">
        <v>62294</v>
      </c>
      <c r="H113" s="378">
        <v>63411.971545</v>
      </c>
      <c r="I113" s="378">
        <v>66944</v>
      </c>
    </row>
    <row r="114" spans="1:12">
      <c r="A114" s="494" t="s">
        <v>173</v>
      </c>
      <c r="B114" s="549">
        <f t="shared" ref="B114:I114" si="21">IF(ISERROR(B112/B113),"",(B112/B113))</f>
        <v>1.8769640489369697E-4</v>
      </c>
      <c r="C114" s="549">
        <f t="shared" si="21"/>
        <v>1.8769640489369697E-4</v>
      </c>
      <c r="D114" s="549">
        <f t="shared" si="21"/>
        <v>2.1764685544376449E-4</v>
      </c>
      <c r="E114" s="549">
        <f t="shared" si="21"/>
        <v>0</v>
      </c>
      <c r="F114" s="549">
        <f t="shared" si="21"/>
        <v>0</v>
      </c>
      <c r="G114" s="549">
        <f t="shared" si="21"/>
        <v>3.1303175265675665E-4</v>
      </c>
      <c r="H114" s="549">
        <f t="shared" si="21"/>
        <v>0</v>
      </c>
      <c r="I114" s="549">
        <f t="shared" si="21"/>
        <v>1.0008365200764818E-3</v>
      </c>
    </row>
    <row r="116" spans="1:12" ht="14.65">
      <c r="A116" s="550" t="s">
        <v>174</v>
      </c>
      <c r="B116" s="551"/>
      <c r="C116" s="551"/>
    </row>
    <row r="117" spans="1:12" ht="14.65">
      <c r="A117" s="550"/>
      <c r="B117" s="551"/>
      <c r="C117" s="551"/>
    </row>
    <row r="118" spans="1:12" ht="12.75" customHeight="1">
      <c r="A118" s="491" t="s">
        <v>175</v>
      </c>
      <c r="B118" s="318" t="s">
        <v>2</v>
      </c>
      <c r="C118" s="319"/>
      <c r="D118" s="319"/>
      <c r="E118" s="319"/>
      <c r="F118" s="319"/>
      <c r="G118" s="320"/>
      <c r="H118" s="321" t="s">
        <v>3</v>
      </c>
      <c r="I118" s="322" t="s">
        <v>4</v>
      </c>
      <c r="L118" t="s">
        <v>176</v>
      </c>
    </row>
    <row r="119" spans="1:12" ht="12.75" customHeight="1">
      <c r="A119" s="491"/>
      <c r="B119" s="325"/>
      <c r="C119" s="326"/>
      <c r="D119" s="326"/>
      <c r="E119" s="326"/>
      <c r="F119" s="326"/>
      <c r="G119" s="327"/>
      <c r="H119" s="328"/>
      <c r="I119" s="329"/>
    </row>
    <row r="120" spans="1:12" ht="13.5">
      <c r="A120" s="552"/>
      <c r="B120" s="332">
        <v>2014</v>
      </c>
      <c r="C120" s="401">
        <v>2015</v>
      </c>
      <c r="D120" s="401">
        <v>2016</v>
      </c>
      <c r="E120" s="402">
        <v>2017</v>
      </c>
      <c r="F120" s="401">
        <v>2018</v>
      </c>
      <c r="G120" s="402">
        <v>2019</v>
      </c>
      <c r="H120" s="401">
        <v>2020</v>
      </c>
      <c r="I120" s="403">
        <v>2021</v>
      </c>
    </row>
    <row r="121" spans="1:12">
      <c r="A121" s="486" t="s">
        <v>177</v>
      </c>
      <c r="B121" s="553">
        <v>171</v>
      </c>
      <c r="C121" s="553">
        <v>164</v>
      </c>
      <c r="D121" s="553">
        <v>161</v>
      </c>
      <c r="E121" s="553">
        <v>161</v>
      </c>
      <c r="F121" s="553">
        <v>146</v>
      </c>
      <c r="G121" s="553">
        <v>156</v>
      </c>
      <c r="H121" s="553">
        <f>'[1]6.5 Capacity Output Data'!$C$10</f>
        <v>150</v>
      </c>
      <c r="I121" s="378">
        <v>150</v>
      </c>
    </row>
    <row r="122" spans="1:12">
      <c r="A122" s="486" t="s">
        <v>178</v>
      </c>
      <c r="B122" s="553">
        <v>81</v>
      </c>
      <c r="C122" s="553">
        <v>80</v>
      </c>
      <c r="D122" s="553">
        <v>76</v>
      </c>
      <c r="E122" s="553">
        <v>72</v>
      </c>
      <c r="F122" s="553">
        <v>80</v>
      </c>
      <c r="G122" s="553">
        <v>83</v>
      </c>
      <c r="H122" s="553">
        <f>'[1]6.5 Capacity Output Data'!$C$11</f>
        <v>87</v>
      </c>
      <c r="I122" s="378">
        <v>87</v>
      </c>
    </row>
    <row r="123" spans="1:12">
      <c r="A123" s="486" t="s">
        <v>179</v>
      </c>
      <c r="B123" s="553">
        <v>39</v>
      </c>
      <c r="C123" s="553">
        <v>39</v>
      </c>
      <c r="D123" s="553">
        <v>41</v>
      </c>
      <c r="E123" s="553">
        <v>38</v>
      </c>
      <c r="F123" s="553">
        <v>33</v>
      </c>
      <c r="G123" s="553">
        <v>39</v>
      </c>
      <c r="H123" s="553">
        <f>'[1]6.5 Capacity Output Data'!$C$12</f>
        <v>30</v>
      </c>
      <c r="I123" s="378">
        <v>30</v>
      </c>
    </row>
    <row r="124" spans="1:12">
      <c r="A124" s="486" t="s">
        <v>180</v>
      </c>
      <c r="B124" s="553">
        <v>51</v>
      </c>
      <c r="C124" s="553">
        <v>51</v>
      </c>
      <c r="D124" s="553">
        <v>55</v>
      </c>
      <c r="E124" s="553">
        <v>78</v>
      </c>
      <c r="F124" s="553">
        <v>74</v>
      </c>
      <c r="G124" s="553">
        <v>55</v>
      </c>
      <c r="H124" s="553">
        <f>'[1]6.5 Capacity Output Data'!$C$13</f>
        <v>66</v>
      </c>
      <c r="I124" s="378">
        <v>66</v>
      </c>
    </row>
    <row r="125" spans="1:12">
      <c r="A125" s="486" t="s">
        <v>181</v>
      </c>
      <c r="B125" s="553">
        <v>0</v>
      </c>
      <c r="C125" s="553">
        <v>0</v>
      </c>
      <c r="D125" s="553">
        <v>1</v>
      </c>
      <c r="E125" s="553">
        <v>0</v>
      </c>
      <c r="F125" s="553">
        <v>0</v>
      </c>
      <c r="G125" s="553">
        <v>0</v>
      </c>
      <c r="H125" s="553">
        <f>'[1]6.5 Capacity Output Data'!$C$14</f>
        <v>0</v>
      </c>
      <c r="I125" s="378">
        <v>0</v>
      </c>
    </row>
    <row r="126" spans="1:12">
      <c r="A126" s="486" t="s">
        <v>182</v>
      </c>
      <c r="B126" s="553">
        <f>SUM(B121:B125)</f>
        <v>342</v>
      </c>
      <c r="C126" s="553">
        <f t="shared" ref="C126:G126" si="22">SUM(C121:C125)</f>
        <v>334</v>
      </c>
      <c r="D126" s="553">
        <f t="shared" si="22"/>
        <v>334</v>
      </c>
      <c r="E126" s="553">
        <f t="shared" si="22"/>
        <v>349</v>
      </c>
      <c r="F126" s="553">
        <f t="shared" si="22"/>
        <v>333</v>
      </c>
      <c r="G126" s="553">
        <f t="shared" si="22"/>
        <v>333</v>
      </c>
      <c r="H126" s="553">
        <f>SUM(H121:H125)</f>
        <v>333</v>
      </c>
      <c r="I126" s="553">
        <f>SUM(I121:I125)</f>
        <v>333</v>
      </c>
    </row>
    <row r="133" spans="2:2">
      <c r="B133" s="554"/>
    </row>
  </sheetData>
  <mergeCells count="71">
    <mergeCell ref="B109:G110"/>
    <mergeCell ref="H109:H110"/>
    <mergeCell ref="I109:I110"/>
    <mergeCell ref="A118:A119"/>
    <mergeCell ref="B118:G119"/>
    <mergeCell ref="H118:H119"/>
    <mergeCell ref="I118:I119"/>
    <mergeCell ref="AD95:AE96"/>
    <mergeCell ref="AF95:AF97"/>
    <mergeCell ref="A100:J100"/>
    <mergeCell ref="L100:U100"/>
    <mergeCell ref="W100:AF100"/>
    <mergeCell ref="B102:J102"/>
    <mergeCell ref="M102:U102"/>
    <mergeCell ref="X102:AF102"/>
    <mergeCell ref="A93:J93"/>
    <mergeCell ref="L93:U93"/>
    <mergeCell ref="W93:AF93"/>
    <mergeCell ref="B95:G96"/>
    <mergeCell ref="H95:I96"/>
    <mergeCell ref="J95:J97"/>
    <mergeCell ref="M95:R96"/>
    <mergeCell ref="S95:T96"/>
    <mergeCell ref="U95:U97"/>
    <mergeCell ref="X95:AC96"/>
    <mergeCell ref="B79:J79"/>
    <mergeCell ref="M79:U79"/>
    <mergeCell ref="X79:AF79"/>
    <mergeCell ref="A86:J86"/>
    <mergeCell ref="B88:G89"/>
    <mergeCell ref="H88:H89"/>
    <mergeCell ref="I88:I89"/>
    <mergeCell ref="J88:J90"/>
    <mergeCell ref="M72:R73"/>
    <mergeCell ref="S72:T73"/>
    <mergeCell ref="U72:U74"/>
    <mergeCell ref="X72:AC73"/>
    <mergeCell ref="AD72:AE73"/>
    <mergeCell ref="AF72:AF74"/>
    <mergeCell ref="B65:G66"/>
    <mergeCell ref="H65:H66"/>
    <mergeCell ref="I65:I66"/>
    <mergeCell ref="J65:J67"/>
    <mergeCell ref="B72:G73"/>
    <mergeCell ref="H72:I73"/>
    <mergeCell ref="J72:J74"/>
    <mergeCell ref="M45:R46"/>
    <mergeCell ref="S45:T46"/>
    <mergeCell ref="U45:U47"/>
    <mergeCell ref="X45:AC46"/>
    <mergeCell ref="AD45:AE46"/>
    <mergeCell ref="AF45:AF47"/>
    <mergeCell ref="B36:G37"/>
    <mergeCell ref="H36:H37"/>
    <mergeCell ref="I36:I37"/>
    <mergeCell ref="J36:J38"/>
    <mergeCell ref="B45:G46"/>
    <mergeCell ref="H45:I46"/>
    <mergeCell ref="J45:J47"/>
    <mergeCell ref="M20:R21"/>
    <mergeCell ref="S20:T21"/>
    <mergeCell ref="U20:U22"/>
    <mergeCell ref="X20:AC21"/>
    <mergeCell ref="AD20:AE21"/>
    <mergeCell ref="AF20:AF22"/>
    <mergeCell ref="B11:G12"/>
    <mergeCell ref="H11:H12"/>
    <mergeCell ref="I11:I12"/>
    <mergeCell ref="B20:G21"/>
    <mergeCell ref="H20:I21"/>
    <mergeCell ref="J20:J22"/>
  </mergeCells>
  <pageMargins left="0.70866141732283472" right="0.70866141732283472" top="0.74803149606299213" bottom="0.74803149606299213" header="0.31496062992125984" footer="0.31496062992125984"/>
  <pageSetup paperSize="8" scale="42" fitToHeight="2" orientation="landscape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rowBreaks count="1" manualBreakCount="1">
    <brk id="8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364E8-5B06-4DC1-9211-B408DA8A1E2D}">
  <sheetPr codeName="Sheet11">
    <tabColor theme="0" tint="-0.14999847407452621"/>
    <pageSetUpPr fitToPage="1"/>
  </sheetPr>
  <dimension ref="A1:AC75"/>
  <sheetViews>
    <sheetView zoomScale="85" zoomScaleNormal="85" workbookViewId="0">
      <selection activeCell="C235" sqref="C235"/>
    </sheetView>
  </sheetViews>
  <sheetFormatPr defaultRowHeight="12.75"/>
  <cols>
    <col min="1" max="1" width="38.59765625" customWidth="1"/>
    <col min="2" max="2" width="11.59765625" customWidth="1"/>
    <col min="3" max="3" width="10.59765625" customWidth="1"/>
    <col min="4" max="4" width="15" customWidth="1"/>
    <col min="5" max="9" width="10.59765625" customWidth="1"/>
    <col min="11" max="11" width="37.3984375" customWidth="1"/>
    <col min="12" max="12" width="11.73046875" bestFit="1" customWidth="1"/>
    <col min="13" max="19" width="11.265625" customWidth="1"/>
    <col min="21" max="21" width="37.59765625" customWidth="1"/>
    <col min="22" max="22" width="11.3984375" customWidth="1"/>
    <col min="23" max="29" width="10.265625" customWidth="1"/>
  </cols>
  <sheetData>
    <row r="1" spans="1:29" s="3" customFormat="1" ht="25.15">
      <c r="A1" s="1" t="str">
        <f>+'[1]Universal data'!$A$1</f>
        <v>Regulatory Reporting Pack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s="3" customFormat="1" ht="25.15">
      <c r="A2" s="1" t="str">
        <f>+'[1]Universal data'!$A$2</f>
        <v>Wales &amp; West Utilities PLC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s="3" customFormat="1" ht="25.15">
      <c r="A3" s="1" t="str">
        <f>+'[1]Universal data'!$A$3</f>
        <v>2019/20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s="5" customFormat="1" ht="12.4">
      <c r="D4" s="6"/>
      <c r="O4" s="6"/>
    </row>
    <row r="5" spans="1:29" s="5" customFormat="1" ht="14.65">
      <c r="A5" s="482" t="s">
        <v>183</v>
      </c>
      <c r="D5" s="6"/>
      <c r="O5" s="6"/>
    </row>
    <row r="6" spans="1:29" s="5" customFormat="1" ht="12.4">
      <c r="D6" s="6"/>
      <c r="O6" s="6"/>
    </row>
    <row r="7" spans="1:29" s="5" customFormat="1" ht="15.4">
      <c r="A7" s="6" t="s">
        <v>184</v>
      </c>
      <c r="D7" s="6"/>
      <c r="F7" s="483"/>
      <c r="O7" s="6"/>
    </row>
    <row r="8" spans="1:29" s="5" customFormat="1" ht="12.4">
      <c r="D8" s="6"/>
      <c r="O8" s="6"/>
    </row>
    <row r="9" spans="1:29" s="5" customFormat="1" ht="12.75" customHeight="1">
      <c r="A9" s="8"/>
      <c r="B9" s="318" t="s">
        <v>2</v>
      </c>
      <c r="C9" s="319"/>
      <c r="D9" s="319"/>
      <c r="E9" s="319"/>
      <c r="F9" s="319"/>
      <c r="G9" s="320"/>
      <c r="H9" s="321" t="s">
        <v>3</v>
      </c>
      <c r="I9" s="322" t="s">
        <v>4</v>
      </c>
      <c r="O9" s="6"/>
    </row>
    <row r="10" spans="1:29" s="5" customFormat="1" ht="12.4">
      <c r="A10" s="14"/>
      <c r="B10" s="325"/>
      <c r="C10" s="326"/>
      <c r="D10" s="326"/>
      <c r="E10" s="326"/>
      <c r="F10" s="326"/>
      <c r="G10" s="327"/>
      <c r="H10" s="328"/>
      <c r="I10" s="329"/>
      <c r="O10" s="6"/>
    </row>
    <row r="11" spans="1:29" s="5" customFormat="1" ht="12.4">
      <c r="A11" s="21"/>
      <c r="B11" s="332">
        <v>2014</v>
      </c>
      <c r="C11" s="516">
        <v>2015</v>
      </c>
      <c r="D11" s="516">
        <v>2016</v>
      </c>
      <c r="E11" s="516">
        <v>2017</v>
      </c>
      <c r="F11" s="516">
        <v>2018</v>
      </c>
      <c r="G11" s="516">
        <v>2019</v>
      </c>
      <c r="H11" s="516">
        <v>2020</v>
      </c>
      <c r="I11" s="516">
        <v>2021</v>
      </c>
      <c r="O11" s="6"/>
    </row>
    <row r="12" spans="1:29" s="5" customFormat="1" ht="12.4">
      <c r="A12" s="494" t="s">
        <v>185</v>
      </c>
      <c r="B12" s="379">
        <f>+B23</f>
        <v>417.4</v>
      </c>
      <c r="C12" s="555"/>
      <c r="D12" s="555"/>
      <c r="E12" s="555"/>
      <c r="F12" s="555"/>
      <c r="G12" s="555"/>
      <c r="H12" s="555"/>
      <c r="I12" s="556"/>
      <c r="O12" s="6"/>
    </row>
    <row r="13" spans="1:29" s="5" customFormat="1" ht="12.4">
      <c r="A13" s="494" t="s">
        <v>186</v>
      </c>
      <c r="B13" s="379">
        <f>+B24</f>
        <v>417.4</v>
      </c>
      <c r="C13" s="379">
        <f>+C24</f>
        <v>394.76731161881429</v>
      </c>
      <c r="D13" s="379">
        <f>+D24</f>
        <v>381.06901075760589</v>
      </c>
      <c r="E13" s="379">
        <f>+E24</f>
        <v>378.48487296197698</v>
      </c>
      <c r="F13" s="379">
        <f>+F24</f>
        <v>371.51931807840413</v>
      </c>
      <c r="G13" s="379">
        <f>+G24</f>
        <v>351.47022579978852</v>
      </c>
      <c r="H13" s="379">
        <f>'[1]3.12 Shrinkage'!$G$19</f>
        <v>340.0069646066305</v>
      </c>
      <c r="I13" s="378">
        <v>334.22381398712059</v>
      </c>
      <c r="O13" s="6"/>
    </row>
    <row r="14" spans="1:29" s="5" customFormat="1" ht="12.4">
      <c r="A14" s="494" t="s">
        <v>187</v>
      </c>
      <c r="B14" s="379">
        <v>440</v>
      </c>
      <c r="C14" s="379">
        <v>429.2</v>
      </c>
      <c r="D14" s="379">
        <v>421.2</v>
      </c>
      <c r="E14" s="379">
        <v>413.2</v>
      </c>
      <c r="F14" s="379">
        <v>405.2</v>
      </c>
      <c r="G14" s="379">
        <v>397.2</v>
      </c>
      <c r="H14" s="379">
        <v>389.2</v>
      </c>
      <c r="I14" s="379">
        <v>381.2</v>
      </c>
      <c r="O14" s="6"/>
    </row>
    <row r="15" spans="1:29">
      <c r="A15" s="494" t="s">
        <v>188</v>
      </c>
      <c r="B15" s="379">
        <f>+$B$12-B13</f>
        <v>0</v>
      </c>
      <c r="C15" s="379">
        <f>+$B$12-C13</f>
        <v>22.632688381185687</v>
      </c>
      <c r="D15" s="379">
        <f t="shared" ref="D15:I15" si="0">+$B$12-D13</f>
        <v>36.330989242394082</v>
      </c>
      <c r="E15" s="379">
        <f t="shared" si="0"/>
        <v>38.915127038023002</v>
      </c>
      <c r="F15" s="379">
        <f t="shared" si="0"/>
        <v>45.880681921595851</v>
      </c>
      <c r="G15" s="379">
        <f t="shared" si="0"/>
        <v>65.929774200211455</v>
      </c>
      <c r="H15" s="379">
        <f t="shared" si="0"/>
        <v>77.393035393369473</v>
      </c>
      <c r="I15" s="379">
        <f t="shared" si="0"/>
        <v>83.176186012879384</v>
      </c>
    </row>
    <row r="16" spans="1:29">
      <c r="A16" s="494" t="s">
        <v>189</v>
      </c>
      <c r="B16" s="496">
        <f>+B15/$B$12</f>
        <v>0</v>
      </c>
      <c r="C16" s="496">
        <f t="shared" ref="C16:I16" si="1">+C15/$B$12</f>
        <v>5.4223019600349039E-2</v>
      </c>
      <c r="D16" s="496">
        <f t="shared" si="1"/>
        <v>8.7041181701950368E-2</v>
      </c>
      <c r="E16" s="496">
        <f t="shared" si="1"/>
        <v>9.323221619075947E-2</v>
      </c>
      <c r="F16" s="496">
        <f t="shared" si="1"/>
        <v>0.10992017710013381</v>
      </c>
      <c r="G16" s="496">
        <f t="shared" si="1"/>
        <v>0.15795345999092347</v>
      </c>
      <c r="H16" s="496">
        <f t="shared" si="1"/>
        <v>0.1854169511101329</v>
      </c>
      <c r="I16" s="496">
        <f t="shared" si="1"/>
        <v>0.19927212748653422</v>
      </c>
    </row>
    <row r="18" spans="1:29" s="5" customFormat="1" ht="15.4">
      <c r="A18" s="6" t="s">
        <v>190</v>
      </c>
      <c r="D18" s="6"/>
      <c r="F18" s="483"/>
      <c r="K18" s="6" t="s">
        <v>48</v>
      </c>
      <c r="N18" s="6"/>
      <c r="P18" s="483"/>
      <c r="U18" s="6" t="s">
        <v>49</v>
      </c>
      <c r="X18" s="6"/>
      <c r="Z18" s="483"/>
    </row>
    <row r="19" spans="1:29" s="5" customFormat="1" ht="12.4">
      <c r="D19" s="6"/>
      <c r="N19" s="6"/>
      <c r="X19" s="6"/>
    </row>
    <row r="20" spans="1:29" s="5" customFormat="1" ht="12.75" customHeight="1">
      <c r="A20" s="8"/>
      <c r="B20" s="318" t="s">
        <v>2</v>
      </c>
      <c r="C20" s="319"/>
      <c r="D20" s="319"/>
      <c r="E20" s="319"/>
      <c r="F20" s="319"/>
      <c r="G20" s="320"/>
      <c r="H20" s="318" t="s">
        <v>118</v>
      </c>
      <c r="I20" s="320"/>
      <c r="K20" s="8"/>
      <c r="L20" s="318" t="s">
        <v>2</v>
      </c>
      <c r="M20" s="319"/>
      <c r="N20" s="319"/>
      <c r="O20" s="319"/>
      <c r="P20" s="319"/>
      <c r="Q20" s="320"/>
      <c r="R20" s="321" t="s">
        <v>191</v>
      </c>
      <c r="S20" s="322" t="s">
        <v>4</v>
      </c>
      <c r="U20" s="8"/>
      <c r="V20" s="318" t="s">
        <v>2</v>
      </c>
      <c r="W20" s="319"/>
      <c r="X20" s="319"/>
      <c r="Y20" s="319"/>
      <c r="Z20" s="319"/>
      <c r="AA20" s="320"/>
      <c r="AB20" s="321" t="s">
        <v>191</v>
      </c>
      <c r="AC20" s="322" t="s">
        <v>4</v>
      </c>
    </row>
    <row r="21" spans="1:29" s="5" customFormat="1" ht="12.4">
      <c r="A21" s="14"/>
      <c r="B21" s="325"/>
      <c r="C21" s="326"/>
      <c r="D21" s="326"/>
      <c r="E21" s="326"/>
      <c r="F21" s="326"/>
      <c r="G21" s="327"/>
      <c r="H21" s="325"/>
      <c r="I21" s="327"/>
      <c r="K21" s="14"/>
      <c r="L21" s="325"/>
      <c r="M21" s="326"/>
      <c r="N21" s="326"/>
      <c r="O21" s="326"/>
      <c r="P21" s="326"/>
      <c r="Q21" s="327"/>
      <c r="R21" s="328"/>
      <c r="S21" s="329"/>
      <c r="U21" s="14"/>
      <c r="V21" s="325"/>
      <c r="W21" s="326"/>
      <c r="X21" s="326"/>
      <c r="Y21" s="326"/>
      <c r="Z21" s="326"/>
      <c r="AA21" s="327"/>
      <c r="AB21" s="328"/>
      <c r="AC21" s="329"/>
    </row>
    <row r="22" spans="1:29" s="5" customFormat="1" ht="12.4">
      <c r="A22" s="21"/>
      <c r="B22" s="332">
        <v>2014</v>
      </c>
      <c r="C22" s="401">
        <v>2015</v>
      </c>
      <c r="D22" s="401">
        <v>2016</v>
      </c>
      <c r="E22" s="402">
        <v>2017</v>
      </c>
      <c r="F22" s="401">
        <v>2018</v>
      </c>
      <c r="G22" s="402">
        <v>2019</v>
      </c>
      <c r="H22" s="401">
        <v>2020</v>
      </c>
      <c r="I22" s="403">
        <v>2021</v>
      </c>
      <c r="K22" s="21"/>
      <c r="L22" s="332">
        <v>2014</v>
      </c>
      <c r="M22" s="401">
        <v>2015</v>
      </c>
      <c r="N22" s="401">
        <v>2016</v>
      </c>
      <c r="O22" s="402">
        <v>2017</v>
      </c>
      <c r="P22" s="401">
        <v>2018</v>
      </c>
      <c r="Q22" s="402">
        <v>2019</v>
      </c>
      <c r="R22" s="401">
        <v>2020</v>
      </c>
      <c r="S22" s="403">
        <v>2021</v>
      </c>
      <c r="U22" s="21"/>
      <c r="V22" s="332">
        <v>2014</v>
      </c>
      <c r="W22" s="401">
        <v>2015</v>
      </c>
      <c r="X22" s="401">
        <v>2016</v>
      </c>
      <c r="Y22" s="402">
        <v>2017</v>
      </c>
      <c r="Z22" s="401">
        <v>2018</v>
      </c>
      <c r="AA22" s="402">
        <v>2019</v>
      </c>
      <c r="AB22" s="401">
        <v>2020</v>
      </c>
      <c r="AC22" s="403">
        <v>2021</v>
      </c>
    </row>
    <row r="23" spans="1:29" s="5" customFormat="1" ht="12.4">
      <c r="A23" s="494" t="s">
        <v>185</v>
      </c>
      <c r="B23" s="557">
        <v>417.4</v>
      </c>
      <c r="C23" s="555"/>
      <c r="D23" s="555"/>
      <c r="E23" s="555"/>
      <c r="F23" s="555"/>
      <c r="G23" s="555"/>
      <c r="H23" s="555"/>
      <c r="I23" s="556"/>
      <c r="K23" s="494"/>
      <c r="L23" s="536"/>
      <c r="M23" s="536"/>
      <c r="N23" s="536"/>
      <c r="O23" s="536"/>
      <c r="P23" s="536"/>
      <c r="Q23" s="536"/>
      <c r="R23" s="536"/>
      <c r="S23" s="536"/>
      <c r="U23" s="494"/>
      <c r="V23" s="536"/>
      <c r="W23" s="536"/>
      <c r="X23" s="536"/>
      <c r="Y23" s="536"/>
      <c r="Z23" s="536"/>
      <c r="AA23" s="536"/>
      <c r="AB23" s="536"/>
      <c r="AC23" s="536"/>
    </row>
    <row r="24" spans="1:29" s="5" customFormat="1" ht="12.4">
      <c r="A24" s="494" t="s">
        <v>186</v>
      </c>
      <c r="B24" s="379">
        <v>417.4</v>
      </c>
      <c r="C24" s="379">
        <v>394.76731161881429</v>
      </c>
      <c r="D24" s="379">
        <v>381.06901075760589</v>
      </c>
      <c r="E24" s="379">
        <v>378.48487296197698</v>
      </c>
      <c r="F24" s="379">
        <v>371.51931807840413</v>
      </c>
      <c r="G24" s="379">
        <v>351.47022579978852</v>
      </c>
      <c r="H24" s="379">
        <v>347</v>
      </c>
      <c r="I24" s="379">
        <v>341</v>
      </c>
      <c r="K24" s="494" t="s">
        <v>186</v>
      </c>
      <c r="L24" s="379">
        <f t="shared" ref="L24:S24" si="2">B13-B24</f>
        <v>0</v>
      </c>
      <c r="M24" s="379">
        <f t="shared" si="2"/>
        <v>0</v>
      </c>
      <c r="N24" s="379">
        <f t="shared" si="2"/>
        <v>0</v>
      </c>
      <c r="O24" s="379">
        <f t="shared" si="2"/>
        <v>0</v>
      </c>
      <c r="P24" s="379">
        <f t="shared" si="2"/>
        <v>0</v>
      </c>
      <c r="Q24" s="379">
        <f t="shared" si="2"/>
        <v>0</v>
      </c>
      <c r="R24" s="379">
        <f t="shared" si="2"/>
        <v>-6.993035393369496</v>
      </c>
      <c r="S24" s="379">
        <f t="shared" si="2"/>
        <v>-6.7761860128794069</v>
      </c>
      <c r="U24" s="494" t="s">
        <v>186</v>
      </c>
      <c r="V24" s="496">
        <f t="shared" ref="V24:AC25" si="3">L24/B24</f>
        <v>0</v>
      </c>
      <c r="W24" s="496">
        <f t="shared" si="3"/>
        <v>0</v>
      </c>
      <c r="X24" s="496">
        <f t="shared" si="3"/>
        <v>0</v>
      </c>
      <c r="Y24" s="496">
        <f t="shared" si="3"/>
        <v>0</v>
      </c>
      <c r="Z24" s="496">
        <f t="shared" si="3"/>
        <v>0</v>
      </c>
      <c r="AA24" s="496">
        <f t="shared" si="3"/>
        <v>0</v>
      </c>
      <c r="AB24" s="496">
        <f t="shared" si="3"/>
        <v>-2.0152839750344369E-2</v>
      </c>
      <c r="AC24" s="496">
        <f t="shared" si="3"/>
        <v>-1.987151323425046E-2</v>
      </c>
    </row>
    <row r="25" spans="1:29">
      <c r="A25" s="494" t="s">
        <v>188</v>
      </c>
      <c r="B25" s="379">
        <f>$B$23-B24</f>
        <v>0</v>
      </c>
      <c r="C25" s="379">
        <f t="shared" ref="C25:I25" si="4">$B$23-C24</f>
        <v>22.632688381185687</v>
      </c>
      <c r="D25" s="379">
        <f t="shared" si="4"/>
        <v>36.330989242394082</v>
      </c>
      <c r="E25" s="379">
        <f t="shared" si="4"/>
        <v>38.915127038023002</v>
      </c>
      <c r="F25" s="379">
        <f t="shared" si="4"/>
        <v>45.880681921595851</v>
      </c>
      <c r="G25" s="379">
        <f t="shared" si="4"/>
        <v>65.929774200211455</v>
      </c>
      <c r="H25" s="379">
        <f t="shared" si="4"/>
        <v>70.399999999999977</v>
      </c>
      <c r="I25" s="379">
        <f t="shared" si="4"/>
        <v>76.399999999999977</v>
      </c>
      <c r="K25" s="494" t="s">
        <v>188</v>
      </c>
      <c r="L25" s="379">
        <f t="shared" ref="L25:S25" si="5">B15-B25</f>
        <v>0</v>
      </c>
      <c r="M25" s="379">
        <f t="shared" si="5"/>
        <v>0</v>
      </c>
      <c r="N25" s="379">
        <f t="shared" si="5"/>
        <v>0</v>
      </c>
      <c r="O25" s="379">
        <f t="shared" si="5"/>
        <v>0</v>
      </c>
      <c r="P25" s="379">
        <f t="shared" si="5"/>
        <v>0</v>
      </c>
      <c r="Q25" s="379">
        <f t="shared" si="5"/>
        <v>0</v>
      </c>
      <c r="R25" s="379">
        <f t="shared" si="5"/>
        <v>6.993035393369496</v>
      </c>
      <c r="S25" s="379">
        <f t="shared" si="5"/>
        <v>6.7761860128794069</v>
      </c>
      <c r="T25" s="5"/>
      <c r="U25" s="494" t="s">
        <v>188</v>
      </c>
      <c r="V25" s="496" t="e">
        <f t="shared" si="3"/>
        <v>#DIV/0!</v>
      </c>
      <c r="W25" s="496">
        <f t="shared" si="3"/>
        <v>0</v>
      </c>
      <c r="X25" s="496">
        <f t="shared" si="3"/>
        <v>0</v>
      </c>
      <c r="Y25" s="496">
        <f t="shared" si="3"/>
        <v>0</v>
      </c>
      <c r="Z25" s="496">
        <f t="shared" si="3"/>
        <v>0</v>
      </c>
      <c r="AA25" s="496">
        <f t="shared" si="3"/>
        <v>0</v>
      </c>
      <c r="AB25" s="496">
        <f t="shared" si="3"/>
        <v>9.9332889110362185E-2</v>
      </c>
      <c r="AC25" s="496">
        <f t="shared" si="3"/>
        <v>8.8693534199992263E-2</v>
      </c>
    </row>
    <row r="26" spans="1:29">
      <c r="A26" s="494" t="s">
        <v>189</v>
      </c>
      <c r="B26" s="558">
        <f>+B25/$B$12</f>
        <v>0</v>
      </c>
      <c r="C26" s="558">
        <f t="shared" ref="C26:I26" si="6">+C25/$B$12</f>
        <v>5.4223019600349039E-2</v>
      </c>
      <c r="D26" s="558">
        <f t="shared" si="6"/>
        <v>8.7041181701950368E-2</v>
      </c>
      <c r="E26" s="558">
        <f t="shared" si="6"/>
        <v>9.323221619075947E-2</v>
      </c>
      <c r="F26" s="558">
        <f t="shared" si="6"/>
        <v>0.10992017710013381</v>
      </c>
      <c r="G26" s="558">
        <f t="shared" si="6"/>
        <v>0.15795345999092347</v>
      </c>
      <c r="H26" s="558">
        <f t="shared" si="6"/>
        <v>0.16866315285098224</v>
      </c>
      <c r="I26" s="558">
        <f t="shared" si="6"/>
        <v>0.18303785337805459</v>
      </c>
      <c r="T26" s="5"/>
    </row>
    <row r="27" spans="1:29" s="5" customFormat="1" ht="15.4">
      <c r="A27" s="6" t="s">
        <v>192</v>
      </c>
      <c r="D27" s="6"/>
      <c r="F27" s="483"/>
      <c r="K27" s="6" t="s">
        <v>107</v>
      </c>
      <c r="N27" s="6"/>
      <c r="P27" s="483"/>
      <c r="U27" s="6" t="s">
        <v>108</v>
      </c>
      <c r="X27" s="6"/>
      <c r="Z27" s="483"/>
    </row>
    <row r="28" spans="1:29" s="5" customFormat="1" ht="12.4">
      <c r="D28" s="6"/>
      <c r="N28" s="6"/>
      <c r="X28" s="6"/>
    </row>
    <row r="29" spans="1:29" s="5" customFormat="1" ht="24.75">
      <c r="A29" s="6"/>
      <c r="B29" s="497" t="s">
        <v>106</v>
      </c>
      <c r="H29" s="6"/>
      <c r="K29" s="6"/>
      <c r="L29" s="497" t="s">
        <v>106</v>
      </c>
      <c r="R29" s="6"/>
      <c r="U29" s="6"/>
      <c r="V29" s="497" t="s">
        <v>106</v>
      </c>
      <c r="AB29" s="6"/>
    </row>
    <row r="30" spans="1:29" s="5" customFormat="1" ht="12.4">
      <c r="A30" s="494" t="s">
        <v>188</v>
      </c>
      <c r="B30" s="546">
        <f>SUM(I14/B14)-1</f>
        <v>-0.13363636363636366</v>
      </c>
      <c r="H30" s="6"/>
      <c r="K30" s="494" t="s">
        <v>188</v>
      </c>
      <c r="L30" s="379">
        <f>I15-B12*B30</f>
        <v>138.95600419469758</v>
      </c>
      <c r="R30" s="6"/>
      <c r="U30" s="494" t="s">
        <v>188</v>
      </c>
      <c r="V30" s="496">
        <f>+(I16-B30)</f>
        <v>0.33290849112289789</v>
      </c>
      <c r="AB30" s="6"/>
    </row>
    <row r="31" spans="1:29">
      <c r="L31" s="559"/>
    </row>
    <row r="33" spans="1:29" s="5" customFormat="1" ht="15.4">
      <c r="A33" s="6" t="s">
        <v>193</v>
      </c>
      <c r="D33" s="6"/>
      <c r="F33" s="483"/>
      <c r="O33" s="6"/>
    </row>
    <row r="34" spans="1:29" s="5" customFormat="1" ht="12.4">
      <c r="D34" s="6"/>
      <c r="O34" s="6"/>
    </row>
    <row r="35" spans="1:29" s="5" customFormat="1" ht="12.75" customHeight="1">
      <c r="A35" s="8"/>
      <c r="B35" s="318" t="s">
        <v>2</v>
      </c>
      <c r="C35" s="319"/>
      <c r="D35" s="319"/>
      <c r="E35" s="319"/>
      <c r="F35" s="319"/>
      <c r="G35" s="320"/>
      <c r="H35" s="321" t="s">
        <v>3</v>
      </c>
      <c r="I35" s="322" t="s">
        <v>4</v>
      </c>
      <c r="O35" s="6"/>
    </row>
    <row r="36" spans="1:29" s="5" customFormat="1" ht="12.4">
      <c r="A36" s="14"/>
      <c r="B36" s="325"/>
      <c r="C36" s="326"/>
      <c r="D36" s="326"/>
      <c r="E36" s="326"/>
      <c r="F36" s="326"/>
      <c r="G36" s="327"/>
      <c r="H36" s="328"/>
      <c r="I36" s="329"/>
      <c r="O36" s="6"/>
    </row>
    <row r="37" spans="1:29" s="5" customFormat="1" ht="12.4">
      <c r="A37" s="21"/>
      <c r="B37" s="332">
        <v>2014</v>
      </c>
      <c r="C37" s="516">
        <v>2015</v>
      </c>
      <c r="D37" s="516">
        <v>2016</v>
      </c>
      <c r="E37" s="516">
        <v>2017</v>
      </c>
      <c r="F37" s="516">
        <v>2018</v>
      </c>
      <c r="G37" s="516">
        <v>2019</v>
      </c>
      <c r="H37" s="516">
        <v>2020</v>
      </c>
      <c r="I37" s="516">
        <v>2021</v>
      </c>
      <c r="O37" s="6"/>
    </row>
    <row r="38" spans="1:29" s="5" customFormat="1" ht="12.4">
      <c r="A38" s="494" t="s">
        <v>194</v>
      </c>
      <c r="B38" s="379">
        <f>+B49</f>
        <v>398</v>
      </c>
      <c r="C38" s="555"/>
      <c r="D38" s="555"/>
      <c r="E38" s="555"/>
      <c r="F38" s="555"/>
      <c r="G38" s="555"/>
      <c r="H38" s="555"/>
      <c r="I38" s="556"/>
      <c r="O38" s="6"/>
    </row>
    <row r="39" spans="1:29" s="5" customFormat="1" ht="12.4">
      <c r="A39" s="494" t="s">
        <v>195</v>
      </c>
      <c r="B39" s="379">
        <f>+B50</f>
        <v>398</v>
      </c>
      <c r="C39" s="379">
        <f t="shared" ref="C39:G39" si="7">+C50</f>
        <v>376.02950295962228</v>
      </c>
      <c r="D39" s="379">
        <f t="shared" si="7"/>
        <v>362.96317623081893</v>
      </c>
      <c r="E39" s="379">
        <f t="shared" si="7"/>
        <v>357.93139848471799</v>
      </c>
      <c r="F39" s="379">
        <f t="shared" si="7"/>
        <v>350.41237561479409</v>
      </c>
      <c r="G39" s="379">
        <f t="shared" si="7"/>
        <v>332.08368831350356</v>
      </c>
      <c r="H39" s="378">
        <f>'[1]3.12 Shrinkage'!$G$16</f>
        <v>320.26816860456154</v>
      </c>
      <c r="I39" s="378">
        <v>313.43560723505158</v>
      </c>
      <c r="O39" s="6"/>
    </row>
    <row r="40" spans="1:29" s="5" customFormat="1" ht="12.4">
      <c r="A40" s="494" t="s">
        <v>196</v>
      </c>
      <c r="B40" s="379">
        <v>415</v>
      </c>
      <c r="C40" s="379">
        <v>403.2</v>
      </c>
      <c r="D40" s="379">
        <v>396.2</v>
      </c>
      <c r="E40" s="379">
        <v>388.2</v>
      </c>
      <c r="F40" s="379">
        <v>380.2</v>
      </c>
      <c r="G40" s="379">
        <v>372.2</v>
      </c>
      <c r="H40" s="379">
        <v>365.2</v>
      </c>
      <c r="I40" s="379">
        <v>357.2</v>
      </c>
      <c r="O40" s="6"/>
    </row>
    <row r="41" spans="1:29">
      <c r="A41" s="494" t="s">
        <v>197</v>
      </c>
      <c r="B41" s="379">
        <f>+$B$38-B39</f>
        <v>0</v>
      </c>
      <c r="C41" s="379">
        <f>+$B$38-C39</f>
        <v>21.970497040377722</v>
      </c>
      <c r="D41" s="379">
        <f t="shared" ref="D41:I41" si="8">+$B$38-D39</f>
        <v>35.036823769181069</v>
      </c>
      <c r="E41" s="379">
        <f t="shared" si="8"/>
        <v>40.068601515282012</v>
      </c>
      <c r="F41" s="379">
        <f t="shared" si="8"/>
        <v>47.587624385205913</v>
      </c>
      <c r="G41" s="379">
        <f t="shared" si="8"/>
        <v>65.916311686496442</v>
      </c>
      <c r="H41" s="379">
        <f t="shared" si="8"/>
        <v>77.731831395438462</v>
      </c>
      <c r="I41" s="379">
        <f t="shared" si="8"/>
        <v>84.564392764948423</v>
      </c>
    </row>
    <row r="42" spans="1:29">
      <c r="A42" s="494" t="s">
        <v>198</v>
      </c>
      <c r="B42" s="496">
        <f>+B41/$B$12</f>
        <v>0</v>
      </c>
      <c r="C42" s="496">
        <f>+C41/$B$38</f>
        <v>5.5202253870295787E-2</v>
      </c>
      <c r="D42" s="496">
        <f t="shared" ref="D42:I42" si="9">+D41/$B$38</f>
        <v>8.8032220525580573E-2</v>
      </c>
      <c r="E42" s="496">
        <f t="shared" si="9"/>
        <v>0.10067487817910054</v>
      </c>
      <c r="F42" s="496">
        <f t="shared" si="9"/>
        <v>0.11956689544021586</v>
      </c>
      <c r="G42" s="496">
        <f t="shared" si="9"/>
        <v>0.16561887358416191</v>
      </c>
      <c r="H42" s="496">
        <f t="shared" si="9"/>
        <v>0.19530610903376497</v>
      </c>
      <c r="I42" s="496">
        <f t="shared" si="9"/>
        <v>0.21247334865564929</v>
      </c>
    </row>
    <row r="44" spans="1:29" s="5" customFormat="1" ht="15.4">
      <c r="A44" s="6" t="s">
        <v>199</v>
      </c>
      <c r="D44" s="6"/>
      <c r="F44" s="483"/>
      <c r="K44" s="6" t="s">
        <v>48</v>
      </c>
      <c r="N44" s="6"/>
      <c r="P44" s="483"/>
      <c r="U44" s="6" t="s">
        <v>49</v>
      </c>
      <c r="X44" s="6"/>
      <c r="Z44" s="483"/>
    </row>
    <row r="45" spans="1:29" s="5" customFormat="1" ht="12.4">
      <c r="D45" s="6"/>
      <c r="N45" s="6"/>
      <c r="X45" s="6"/>
    </row>
    <row r="46" spans="1:29" s="5" customFormat="1" ht="12.75" customHeight="1">
      <c r="A46" s="8"/>
      <c r="B46" s="318" t="s">
        <v>2</v>
      </c>
      <c r="C46" s="319"/>
      <c r="D46" s="319"/>
      <c r="E46" s="319"/>
      <c r="F46" s="319"/>
      <c r="G46" s="320"/>
      <c r="H46" s="318" t="s">
        <v>118</v>
      </c>
      <c r="I46" s="320"/>
      <c r="K46" s="8"/>
      <c r="L46" s="318" t="s">
        <v>2</v>
      </c>
      <c r="M46" s="319"/>
      <c r="N46" s="319"/>
      <c r="O46" s="319"/>
      <c r="P46" s="319"/>
      <c r="Q46" s="320"/>
      <c r="R46" s="321" t="s">
        <v>191</v>
      </c>
      <c r="S46" s="322" t="s">
        <v>4</v>
      </c>
      <c r="U46" s="8"/>
      <c r="V46" s="318" t="s">
        <v>2</v>
      </c>
      <c r="W46" s="319"/>
      <c r="X46" s="319"/>
      <c r="Y46" s="319"/>
      <c r="Z46" s="319"/>
      <c r="AA46" s="320"/>
      <c r="AB46" s="321" t="s">
        <v>191</v>
      </c>
      <c r="AC46" s="322" t="s">
        <v>4</v>
      </c>
    </row>
    <row r="47" spans="1:29" s="5" customFormat="1" ht="12.4">
      <c r="A47" s="14"/>
      <c r="B47" s="325"/>
      <c r="C47" s="326"/>
      <c r="D47" s="326"/>
      <c r="E47" s="326"/>
      <c r="F47" s="326"/>
      <c r="G47" s="327"/>
      <c r="H47" s="325"/>
      <c r="I47" s="327"/>
      <c r="K47" s="14"/>
      <c r="L47" s="325"/>
      <c r="M47" s="326"/>
      <c r="N47" s="326"/>
      <c r="O47" s="326"/>
      <c r="P47" s="326"/>
      <c r="Q47" s="327"/>
      <c r="R47" s="328"/>
      <c r="S47" s="329"/>
      <c r="U47" s="14"/>
      <c r="V47" s="325"/>
      <c r="W47" s="326"/>
      <c r="X47" s="326"/>
      <c r="Y47" s="326"/>
      <c r="Z47" s="326"/>
      <c r="AA47" s="327"/>
      <c r="AB47" s="328"/>
      <c r="AC47" s="329"/>
    </row>
    <row r="48" spans="1:29" s="5" customFormat="1" ht="12.4">
      <c r="A48" s="21"/>
      <c r="B48" s="332">
        <v>2014</v>
      </c>
      <c r="C48" s="401">
        <v>2015</v>
      </c>
      <c r="D48" s="401">
        <v>2016</v>
      </c>
      <c r="E48" s="402">
        <v>2017</v>
      </c>
      <c r="F48" s="401">
        <v>2018</v>
      </c>
      <c r="G48" s="402">
        <v>2019</v>
      </c>
      <c r="H48" s="401">
        <v>2020</v>
      </c>
      <c r="I48" s="403">
        <v>2021</v>
      </c>
      <c r="K48" s="21"/>
      <c r="L48" s="332">
        <v>2014</v>
      </c>
      <c r="M48" s="401">
        <v>2015</v>
      </c>
      <c r="N48" s="401">
        <v>2016</v>
      </c>
      <c r="O48" s="402">
        <v>2017</v>
      </c>
      <c r="P48" s="401">
        <v>2018</v>
      </c>
      <c r="Q48" s="402">
        <v>2019</v>
      </c>
      <c r="R48" s="401">
        <v>2020</v>
      </c>
      <c r="S48" s="403">
        <v>2021</v>
      </c>
      <c r="U48" s="21"/>
      <c r="V48" s="332">
        <v>2014</v>
      </c>
      <c r="W48" s="401">
        <v>2015</v>
      </c>
      <c r="X48" s="401">
        <v>2016</v>
      </c>
      <c r="Y48" s="402">
        <v>2017</v>
      </c>
      <c r="Z48" s="401">
        <v>2018</v>
      </c>
      <c r="AA48" s="402">
        <v>2019</v>
      </c>
      <c r="AB48" s="401">
        <v>2020</v>
      </c>
      <c r="AC48" s="403">
        <v>2021</v>
      </c>
    </row>
    <row r="49" spans="1:29" s="5" customFormat="1" ht="12.4">
      <c r="A49" s="494" t="s">
        <v>194</v>
      </c>
      <c r="B49" s="560">
        <v>398</v>
      </c>
      <c r="C49" s="561"/>
      <c r="D49" s="561"/>
      <c r="E49" s="561"/>
      <c r="F49" s="561"/>
      <c r="G49" s="561"/>
      <c r="H49" s="561"/>
      <c r="I49" s="562"/>
      <c r="K49" s="494"/>
      <c r="L49" s="536"/>
      <c r="M49" s="536"/>
      <c r="N49" s="536"/>
      <c r="O49" s="536"/>
      <c r="P49" s="536"/>
      <c r="Q49" s="536"/>
      <c r="R49" s="536"/>
      <c r="S49" s="536"/>
      <c r="U49" s="494"/>
      <c r="V49" s="536"/>
      <c r="W49" s="536"/>
      <c r="X49" s="536"/>
      <c r="Y49" s="536"/>
      <c r="Z49" s="536"/>
      <c r="AA49" s="536"/>
      <c r="AB49" s="536"/>
      <c r="AC49" s="536"/>
    </row>
    <row r="50" spans="1:29" s="5" customFormat="1" ht="12.4">
      <c r="A50" s="494" t="s">
        <v>195</v>
      </c>
      <c r="B50" s="563">
        <v>398</v>
      </c>
      <c r="C50" s="563">
        <v>376.02950295962228</v>
      </c>
      <c r="D50" s="379">
        <v>362.96317623081893</v>
      </c>
      <c r="E50" s="379">
        <v>357.93139848471799</v>
      </c>
      <c r="F50" s="379">
        <v>350.41237561479409</v>
      </c>
      <c r="G50" s="379">
        <v>332.08368831350356</v>
      </c>
      <c r="H50" s="379">
        <v>326</v>
      </c>
      <c r="I50" s="379">
        <v>321</v>
      </c>
      <c r="K50" s="494" t="s">
        <v>195</v>
      </c>
      <c r="L50" s="379">
        <f t="shared" ref="L50:S50" si="10">B39-B50</f>
        <v>0</v>
      </c>
      <c r="M50" s="379">
        <f t="shared" si="10"/>
        <v>0</v>
      </c>
      <c r="N50" s="379">
        <f t="shared" si="10"/>
        <v>0</v>
      </c>
      <c r="O50" s="379">
        <f t="shared" si="10"/>
        <v>0</v>
      </c>
      <c r="P50" s="379">
        <f t="shared" si="10"/>
        <v>0</v>
      </c>
      <c r="Q50" s="379">
        <f t="shared" si="10"/>
        <v>0</v>
      </c>
      <c r="R50" s="379">
        <f t="shared" si="10"/>
        <v>-5.7318313954384621</v>
      </c>
      <c r="S50" s="379">
        <f t="shared" si="10"/>
        <v>-7.5643927649484226</v>
      </c>
      <c r="U50" s="494" t="s">
        <v>195</v>
      </c>
      <c r="V50" s="496">
        <f t="shared" ref="V50:AC51" si="11">L50/B50</f>
        <v>0</v>
      </c>
      <c r="W50" s="496">
        <f t="shared" si="11"/>
        <v>0</v>
      </c>
      <c r="X50" s="496">
        <f t="shared" si="11"/>
        <v>0</v>
      </c>
      <c r="Y50" s="496">
        <f t="shared" si="11"/>
        <v>0</v>
      </c>
      <c r="Z50" s="496">
        <f t="shared" si="11"/>
        <v>0</v>
      </c>
      <c r="AA50" s="496">
        <f t="shared" si="11"/>
        <v>0</v>
      </c>
      <c r="AB50" s="496">
        <f t="shared" si="11"/>
        <v>-1.7582304893983013E-2</v>
      </c>
      <c r="AC50" s="496">
        <f t="shared" si="11"/>
        <v>-2.3565086495166424E-2</v>
      </c>
    </row>
    <row r="51" spans="1:29">
      <c r="A51" s="494" t="s">
        <v>197</v>
      </c>
      <c r="B51" s="379">
        <f>$B$49-B50</f>
        <v>0</v>
      </c>
      <c r="C51" s="379">
        <f t="shared" ref="C51:I51" si="12">$B$49-C50</f>
        <v>21.970497040377722</v>
      </c>
      <c r="D51" s="379">
        <f t="shared" si="12"/>
        <v>35.036823769181069</v>
      </c>
      <c r="E51" s="379">
        <f t="shared" si="12"/>
        <v>40.068601515282012</v>
      </c>
      <c r="F51" s="379">
        <f t="shared" si="12"/>
        <v>47.587624385205913</v>
      </c>
      <c r="G51" s="379">
        <f t="shared" si="12"/>
        <v>65.916311686496442</v>
      </c>
      <c r="H51" s="379">
        <f t="shared" si="12"/>
        <v>72</v>
      </c>
      <c r="I51" s="379">
        <f t="shared" si="12"/>
        <v>77</v>
      </c>
      <c r="K51" s="494" t="s">
        <v>197</v>
      </c>
      <c r="L51" s="379">
        <f t="shared" ref="L51:S51" si="13">B41-B51</f>
        <v>0</v>
      </c>
      <c r="M51" s="379">
        <f t="shared" si="13"/>
        <v>0</v>
      </c>
      <c r="N51" s="379">
        <f t="shared" si="13"/>
        <v>0</v>
      </c>
      <c r="O51" s="379">
        <f t="shared" si="13"/>
        <v>0</v>
      </c>
      <c r="P51" s="379">
        <f t="shared" si="13"/>
        <v>0</v>
      </c>
      <c r="Q51" s="379">
        <f t="shared" si="13"/>
        <v>0</v>
      </c>
      <c r="R51" s="379">
        <f t="shared" si="13"/>
        <v>5.7318313954384621</v>
      </c>
      <c r="S51" s="379">
        <f t="shared" si="13"/>
        <v>7.5643927649484226</v>
      </c>
      <c r="U51" s="494" t="s">
        <v>197</v>
      </c>
      <c r="V51" s="496" t="e">
        <f t="shared" si="11"/>
        <v>#DIV/0!</v>
      </c>
      <c r="W51" s="496">
        <f t="shared" si="11"/>
        <v>0</v>
      </c>
      <c r="X51" s="496">
        <f t="shared" si="11"/>
        <v>0</v>
      </c>
      <c r="Y51" s="496">
        <f t="shared" si="11"/>
        <v>0</v>
      </c>
      <c r="Z51" s="496">
        <f t="shared" si="11"/>
        <v>0</v>
      </c>
      <c r="AA51" s="496">
        <f t="shared" si="11"/>
        <v>0</v>
      </c>
      <c r="AB51" s="496">
        <f t="shared" si="11"/>
        <v>7.9608769381089753E-2</v>
      </c>
      <c r="AC51" s="496">
        <f t="shared" si="11"/>
        <v>9.823886707725224E-2</v>
      </c>
    </row>
    <row r="52" spans="1:29">
      <c r="A52" s="494" t="s">
        <v>198</v>
      </c>
      <c r="B52" s="558">
        <f>+B51/$B$12</f>
        <v>0</v>
      </c>
      <c r="C52" s="558">
        <f>+C51/$B$38</f>
        <v>5.5202253870295787E-2</v>
      </c>
      <c r="D52" s="558">
        <f t="shared" ref="D52:I52" si="14">+D51/$B$38</f>
        <v>8.8032220525580573E-2</v>
      </c>
      <c r="E52" s="558">
        <f t="shared" si="14"/>
        <v>0.10067487817910054</v>
      </c>
      <c r="F52" s="558">
        <f t="shared" si="14"/>
        <v>0.11956689544021586</v>
      </c>
      <c r="G52" s="558">
        <f t="shared" si="14"/>
        <v>0.16561887358416191</v>
      </c>
      <c r="H52" s="558">
        <f t="shared" si="14"/>
        <v>0.18090452261306533</v>
      </c>
      <c r="I52" s="558">
        <f t="shared" si="14"/>
        <v>0.19346733668341709</v>
      </c>
    </row>
    <row r="53" spans="1:29" s="5" customFormat="1" ht="15.4">
      <c r="A53" s="6" t="s">
        <v>200</v>
      </c>
      <c r="D53" s="6"/>
      <c r="F53" s="483"/>
      <c r="K53" s="6" t="s">
        <v>107</v>
      </c>
      <c r="N53" s="6"/>
      <c r="P53" s="483"/>
      <c r="U53" s="6" t="s">
        <v>108</v>
      </c>
      <c r="X53" s="6"/>
      <c r="Z53" s="483"/>
    </row>
    <row r="54" spans="1:29" s="5" customFormat="1" ht="12.4">
      <c r="D54" s="6"/>
      <c r="N54" s="6"/>
      <c r="X54" s="6"/>
    </row>
    <row r="55" spans="1:29" s="5" customFormat="1" ht="24.75">
      <c r="A55" s="6"/>
      <c r="B55" s="497" t="s">
        <v>106</v>
      </c>
      <c r="H55" s="6"/>
      <c r="K55" s="6"/>
      <c r="L55" s="497" t="s">
        <v>106</v>
      </c>
      <c r="R55" s="6"/>
      <c r="U55" s="6"/>
      <c r="V55" s="497" t="s">
        <v>106</v>
      </c>
      <c r="AB55" s="6"/>
    </row>
    <row r="56" spans="1:29" s="5" customFormat="1" ht="12.4">
      <c r="A56" s="494" t="s">
        <v>197</v>
      </c>
      <c r="B56" s="546">
        <f>SUM(I40/B40)-1</f>
        <v>-0.13927710843373498</v>
      </c>
      <c r="D56" s="564"/>
      <c r="H56" s="6"/>
      <c r="K56" s="494" t="s">
        <v>197</v>
      </c>
      <c r="L56" s="379">
        <f>I41-B38*B56</f>
        <v>139.99668192157495</v>
      </c>
      <c r="R56" s="6"/>
      <c r="U56" s="494" t="s">
        <v>197</v>
      </c>
      <c r="V56" s="496">
        <f>+(I42-B56)</f>
        <v>0.35175045708938424</v>
      </c>
      <c r="AB56" s="6"/>
    </row>
    <row r="57" spans="1:29">
      <c r="B57" s="565"/>
    </row>
    <row r="67" spans="7:7">
      <c r="G67" s="566"/>
    </row>
    <row r="68" spans="7:7">
      <c r="G68" s="566"/>
    </row>
    <row r="69" spans="7:7">
      <c r="G69" s="566"/>
    </row>
    <row r="70" spans="7:7">
      <c r="G70" s="566"/>
    </row>
    <row r="71" spans="7:7">
      <c r="G71" s="566"/>
    </row>
    <row r="72" spans="7:7">
      <c r="G72" s="566"/>
    </row>
    <row r="73" spans="7:7">
      <c r="G73" s="566"/>
    </row>
    <row r="74" spans="7:7">
      <c r="G74" s="566"/>
    </row>
    <row r="75" spans="7:7">
      <c r="G75" s="566"/>
    </row>
  </sheetData>
  <mergeCells count="22">
    <mergeCell ref="AB46:AB47"/>
    <mergeCell ref="AC46:AC47"/>
    <mergeCell ref="B46:G47"/>
    <mergeCell ref="H46:I47"/>
    <mergeCell ref="L46:Q47"/>
    <mergeCell ref="R46:R47"/>
    <mergeCell ref="S46:S47"/>
    <mergeCell ref="V46:AA47"/>
    <mergeCell ref="R20:R21"/>
    <mergeCell ref="S20:S21"/>
    <mergeCell ref="V20:AA21"/>
    <mergeCell ref="AB20:AB21"/>
    <mergeCell ref="AC20:AC21"/>
    <mergeCell ref="B35:G36"/>
    <mergeCell ref="H35:H36"/>
    <mergeCell ref="I35:I36"/>
    <mergeCell ref="B9:G10"/>
    <mergeCell ref="H9:H10"/>
    <mergeCell ref="I9:I10"/>
    <mergeCell ref="B20:G21"/>
    <mergeCell ref="H20:I21"/>
    <mergeCell ref="L20:Q21"/>
  </mergeCells>
  <pageMargins left="0.70866141732283472" right="0.70866141732283472" top="0.74803149606299213" bottom="0.74803149606299213" header="0.31496062992125984" footer="0.31496062992125984"/>
  <pageSetup paperSize="8" scale="49" orientation="landscape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F8FC5-4E16-4F57-B387-D60233896A9C}">
  <sheetPr codeName="Sheet12">
    <pageSetUpPr fitToPage="1"/>
  </sheetPr>
  <dimension ref="A1:E39"/>
  <sheetViews>
    <sheetView zoomScaleNormal="100" zoomScaleSheetLayoutView="100" workbookViewId="0">
      <selection activeCell="C235" sqref="C235"/>
    </sheetView>
  </sheetViews>
  <sheetFormatPr defaultColWidth="8.73046875" defaultRowHeight="13.15"/>
  <cols>
    <col min="1" max="1" width="53.73046875" style="569" customWidth="1"/>
    <col min="2" max="3" width="24.3984375" style="569" customWidth="1"/>
    <col min="4" max="4" width="13" style="627" customWidth="1"/>
    <col min="5" max="16384" width="8.73046875" style="569"/>
  </cols>
  <sheetData>
    <row r="1" spans="1:5" ht="25.15">
      <c r="A1" s="1" t="str">
        <f>+'[1]Universal data'!$A$1</f>
        <v>Regulatory Reporting Pack</v>
      </c>
      <c r="B1" s="567"/>
      <c r="C1" s="567"/>
      <c r="D1" s="568"/>
    </row>
    <row r="2" spans="1:5" ht="25.15">
      <c r="A2" s="1" t="str">
        <f>+'[1]Universal data'!$A$2</f>
        <v>Wales &amp; West Utilities PLC</v>
      </c>
      <c r="B2" s="567"/>
      <c r="C2" s="567"/>
      <c r="D2" s="568"/>
    </row>
    <row r="3" spans="1:5" ht="25.15">
      <c r="A3" s="1" t="str">
        <f>+'[1]Universal data'!$A$3</f>
        <v>2019/20</v>
      </c>
      <c r="B3" s="567"/>
      <c r="C3" s="567"/>
      <c r="D3" s="568"/>
    </row>
    <row r="4" spans="1:5" ht="25.5" thickBot="1">
      <c r="A4" s="570" t="s">
        <v>201</v>
      </c>
      <c r="B4" s="571"/>
      <c r="C4" s="571"/>
      <c r="D4" s="572"/>
    </row>
    <row r="5" spans="1:5" ht="26.25">
      <c r="A5" s="573" t="s">
        <v>202</v>
      </c>
      <c r="B5" s="574"/>
      <c r="C5" s="575"/>
      <c r="D5" s="576" t="s">
        <v>203</v>
      </c>
    </row>
    <row r="6" spans="1:5" ht="33.75" customHeight="1">
      <c r="A6" s="577" t="s">
        <v>204</v>
      </c>
      <c r="B6" s="578" t="s">
        <v>205</v>
      </c>
      <c r="C6" s="578" t="s">
        <v>206</v>
      </c>
      <c r="D6" s="579">
        <f>'[1]7.2 Reliability Outputs'!$B$13</f>
        <v>2547463.5</v>
      </c>
    </row>
    <row r="7" spans="1:5" ht="33.75" customHeight="1" thickBot="1">
      <c r="A7" s="580" t="s">
        <v>207</v>
      </c>
      <c r="B7" s="581" t="s">
        <v>86</v>
      </c>
      <c r="C7" s="581" t="s">
        <v>206</v>
      </c>
      <c r="D7" s="582">
        <f>'[1]6.1 LTS Asset Data'!I16+'[1]6.2 Network Assets'!$Q$23</f>
        <v>35145.771410000169</v>
      </c>
      <c r="E7" s="583"/>
    </row>
    <row r="8" spans="1:5" ht="24" customHeight="1">
      <c r="A8" s="573" t="s">
        <v>208</v>
      </c>
      <c r="B8" s="574"/>
      <c r="C8" s="584"/>
      <c r="D8" s="585"/>
      <c r="E8" s="583"/>
    </row>
    <row r="9" spans="1:5" ht="33.75" customHeight="1" thickBot="1">
      <c r="A9" s="580" t="s">
        <v>209</v>
      </c>
      <c r="B9" s="581" t="s">
        <v>210</v>
      </c>
      <c r="C9" s="581" t="s">
        <v>206</v>
      </c>
      <c r="D9" s="586">
        <f>1-'[1]7.2 Reliability Outputs'!C41/('[1]7.2 Reliability Outputs'!B13*60*24*365)</f>
        <v>0.99999338137702942</v>
      </c>
      <c r="E9" s="583"/>
    </row>
    <row r="10" spans="1:5" ht="33.75" customHeight="1">
      <c r="A10" s="587" t="s">
        <v>211</v>
      </c>
      <c r="B10" s="578" t="s">
        <v>212</v>
      </c>
      <c r="C10" s="578" t="s">
        <v>206</v>
      </c>
      <c r="D10" s="588">
        <f>'[1]7.2 Reliability Outputs'!B40-SUM('[1]7.2 Reliability Outputs'!E47:E56)</f>
        <v>7526</v>
      </c>
      <c r="E10" s="583"/>
    </row>
    <row r="11" spans="1:5" ht="33.75" customHeight="1">
      <c r="A11" s="589"/>
      <c r="B11" s="578" t="s">
        <v>213</v>
      </c>
      <c r="C11" s="578" t="s">
        <v>206</v>
      </c>
      <c r="D11" s="590">
        <f>+D10/D6</f>
        <v>2.9543112197682126E-3</v>
      </c>
      <c r="E11" s="583"/>
    </row>
    <row r="12" spans="1:5" ht="33.75" customHeight="1">
      <c r="A12" s="591"/>
      <c r="B12" s="578" t="s">
        <v>214</v>
      </c>
      <c r="C12" s="578" t="s">
        <v>206</v>
      </c>
      <c r="D12" s="592">
        <f>'[1]7.2 Reliability Outputs'!C40/D10</f>
        <v>371.11582248202967</v>
      </c>
      <c r="E12" s="583"/>
    </row>
    <row r="13" spans="1:5" ht="33.75" customHeight="1">
      <c r="A13" s="577" t="s">
        <v>215</v>
      </c>
      <c r="B13" s="578" t="s">
        <v>216</v>
      </c>
      <c r="C13" s="578" t="s">
        <v>206</v>
      </c>
      <c r="D13" s="593" t="str">
        <f>COUNT('[1]7.2 Reliability Outputs'!E47:E70)&amp;" : "&amp;SUM('[1]7.2 Reliability Outputs'!E47:E70)</f>
        <v>1 : 335</v>
      </c>
    </row>
    <row r="14" spans="1:5" ht="16.149999999999999" customHeight="1" thickBot="1">
      <c r="A14" s="594"/>
      <c r="B14" s="595"/>
      <c r="C14" s="595"/>
      <c r="D14" s="596"/>
    </row>
    <row r="15" spans="1:5" ht="23.25" customHeight="1">
      <c r="A15" s="597" t="s">
        <v>217</v>
      </c>
      <c r="B15" s="598"/>
      <c r="C15" s="599"/>
      <c r="D15" s="600"/>
    </row>
    <row r="16" spans="1:5" ht="16.149999999999999" customHeight="1">
      <c r="A16" s="577" t="s">
        <v>218</v>
      </c>
      <c r="B16" s="578" t="s">
        <v>219</v>
      </c>
      <c r="C16" s="578" t="s">
        <v>220</v>
      </c>
      <c r="D16" s="601">
        <f>'[1]8.2 Customer Satisfaction Surve'!$N$30</f>
        <v>9.5571923743500875</v>
      </c>
    </row>
    <row r="17" spans="1:4" ht="16.149999999999999" customHeight="1">
      <c r="A17" s="577" t="s">
        <v>221</v>
      </c>
      <c r="B17" s="578" t="s">
        <v>219</v>
      </c>
      <c r="C17" s="578" t="s">
        <v>222</v>
      </c>
      <c r="D17" s="601">
        <f>'[1]8.2 Customer Satisfaction Surve'!$N$16</f>
        <v>8.8317172349077264</v>
      </c>
    </row>
    <row r="18" spans="1:4" ht="16.149999999999999" customHeight="1">
      <c r="A18" s="577" t="s">
        <v>223</v>
      </c>
      <c r="B18" s="578" t="s">
        <v>219</v>
      </c>
      <c r="C18" s="578" t="s">
        <v>224</v>
      </c>
      <c r="D18" s="601">
        <f>'[1]8.2 Customer Satisfaction Surve'!$N$46</f>
        <v>9.1336032388663959</v>
      </c>
    </row>
    <row r="19" spans="1:4" ht="26.65" thickBot="1">
      <c r="A19" s="602" t="s">
        <v>225</v>
      </c>
      <c r="B19" s="603" t="s">
        <v>226</v>
      </c>
      <c r="C19" s="603" t="s">
        <v>227</v>
      </c>
      <c r="D19" s="604">
        <f>((('[1]8.1 Customer Complaints'!AA11-'[1]8.1 Customer Complaints'!AA12)/'[1]8.1 Customer Complaints'!AA11)*0.1+(('[1]8.1 Customer Complaints'!AA11-'[1]8.1 Customer Complaints'!AA14-'[1]8.1 Customer Complaints'!AA12)/'[1]8.1 Customer Complaints'!AA11)*0.3+('[1]8.1 Customer Complaints'!AA16/'[1]8.1 Customer Complaints'!AA11)*0.5+('[1]8.1 Customer Complaints'!AA23/'[1]8.1 Customer Complaints'!AA11)*0.1)*100</f>
        <v>2.4790187217559714</v>
      </c>
    </row>
    <row r="20" spans="1:4" ht="23.25" customHeight="1">
      <c r="A20" s="605" t="s">
        <v>8</v>
      </c>
      <c r="B20" s="606"/>
      <c r="C20" s="606"/>
      <c r="D20" s="607"/>
    </row>
    <row r="21" spans="1:4" ht="14.25">
      <c r="A21" s="608" t="s">
        <v>228</v>
      </c>
      <c r="B21" s="609" t="s">
        <v>229</v>
      </c>
      <c r="C21" s="578" t="s">
        <v>230</v>
      </c>
      <c r="D21" s="610">
        <f>SUM('[1]8.3 Guaranteed Standards '!$J$81+'[1]8.3 Guaranteed Standards '!$J$97+'[1]8.3 Guaranteed Standards '!$J$113)/SUM('[1]8.3 Guaranteed Standards '!$J$80+'[1]8.3 Guaranteed Standards '!$J$96+'[1]8.3 Guaranteed Standards '!$J$112)</f>
        <v>0.9971867778559228</v>
      </c>
    </row>
    <row r="22" spans="1:4" ht="21.75" customHeight="1" thickBot="1">
      <c r="A22" s="608" t="s">
        <v>231</v>
      </c>
      <c r="B22" s="611" t="s">
        <v>229</v>
      </c>
      <c r="C22" s="578" t="s">
        <v>230</v>
      </c>
      <c r="D22" s="612">
        <f>'[1]8.3 Guaranteed Standards '!$J$212/'[1]8.3 Guaranteed Standards '!$J$211</f>
        <v>0.95341296928327646</v>
      </c>
    </row>
    <row r="23" spans="1:4" ht="24" customHeight="1">
      <c r="A23" s="605" t="s">
        <v>232</v>
      </c>
      <c r="B23" s="606"/>
      <c r="C23" s="606"/>
      <c r="D23" s="607"/>
    </row>
    <row r="24" spans="1:4" ht="16.149999999999999" customHeight="1">
      <c r="A24" s="608" t="s">
        <v>233</v>
      </c>
      <c r="B24" s="578" t="s">
        <v>205</v>
      </c>
      <c r="C24" s="578" t="s">
        <v>230</v>
      </c>
      <c r="D24" s="613">
        <f>'2.3 Workload summary'!$I$24</f>
        <v>1091</v>
      </c>
    </row>
    <row r="25" spans="1:4" ht="29.25" customHeight="1" thickBot="1">
      <c r="A25" s="614" t="s">
        <v>234</v>
      </c>
      <c r="B25" s="581" t="s">
        <v>235</v>
      </c>
      <c r="C25" s="581" t="s">
        <v>206</v>
      </c>
      <c r="D25" s="615">
        <f>SUM('2.3 Workload summary'!C24:I24)/SUM('2.3 Workload summary'!C82:I82)-1</f>
        <v>-2.7251184834123254E-2</v>
      </c>
    </row>
    <row r="26" spans="1:4" ht="24" customHeight="1">
      <c r="A26" s="597" t="s">
        <v>236</v>
      </c>
      <c r="B26" s="598"/>
      <c r="C26" s="598"/>
      <c r="D26" s="598"/>
    </row>
    <row r="27" spans="1:4" ht="16.149999999999999" customHeight="1">
      <c r="A27" s="577" t="s">
        <v>237</v>
      </c>
      <c r="B27" s="578" t="s">
        <v>238</v>
      </c>
      <c r="C27" s="578" t="s">
        <v>239</v>
      </c>
      <c r="D27" s="612">
        <f>'[1]7.4 PREs, Reports and Repairs '!$C$18</f>
        <v>0.9899242144578837</v>
      </c>
    </row>
    <row r="28" spans="1:4" ht="16.149999999999999" customHeight="1">
      <c r="A28" s="577" t="s">
        <v>240</v>
      </c>
      <c r="B28" s="578" t="s">
        <v>238</v>
      </c>
      <c r="C28" s="578" t="s">
        <v>239</v>
      </c>
      <c r="D28" s="612">
        <f>'[1]7.4 PREs, Reports and Repairs '!$C$13</f>
        <v>0.99748121064391626</v>
      </c>
    </row>
    <row r="29" spans="1:4" ht="16.149999999999999" customHeight="1">
      <c r="A29" s="577" t="s">
        <v>241</v>
      </c>
      <c r="B29" s="578" t="s">
        <v>235</v>
      </c>
      <c r="C29" s="578" t="s">
        <v>230</v>
      </c>
      <c r="D29" s="612">
        <f>1-('2.4 Safety'!H39/'2.4 Safety'!$B$38)</f>
        <v>0.60955924902433423</v>
      </c>
    </row>
    <row r="30" spans="1:4" ht="16.149999999999999" customHeight="1" thickBot="1">
      <c r="A30" s="616" t="s">
        <v>242</v>
      </c>
      <c r="B30" s="603" t="s">
        <v>235</v>
      </c>
      <c r="C30" s="603" t="s">
        <v>230</v>
      </c>
      <c r="D30" s="617">
        <f>1-('2.4 Safety'!H13/('2.4 Safety'!$B$30/8))</f>
        <v>0.31406791378573262</v>
      </c>
    </row>
    <row r="31" spans="1:4" ht="28.5" customHeight="1">
      <c r="A31" s="573" t="s">
        <v>243</v>
      </c>
      <c r="B31" s="574"/>
      <c r="C31" s="575"/>
      <c r="D31" s="607"/>
    </row>
    <row r="32" spans="1:4" ht="16.149999999999999" customHeight="1">
      <c r="A32" s="577" t="s">
        <v>244</v>
      </c>
      <c r="B32" s="578" t="s">
        <v>245</v>
      </c>
      <c r="C32" s="578" t="s">
        <v>206</v>
      </c>
      <c r="D32" s="618">
        <f>'2.6 Environmental'!G13-'2.6 Environmental'!H13</f>
        <v>11.463261193158019</v>
      </c>
    </row>
    <row r="33" spans="1:4" ht="16.149999999999999" customHeight="1">
      <c r="A33" s="577" t="s">
        <v>246</v>
      </c>
      <c r="B33" s="578" t="s">
        <v>247</v>
      </c>
      <c r="C33" s="578" t="s">
        <v>230</v>
      </c>
      <c r="D33" s="619">
        <f>'2.6 Environmental'!$V$30</f>
        <v>0.33290849112289789</v>
      </c>
    </row>
    <row r="34" spans="1:4" ht="16.149999999999999" customHeight="1" thickBot="1">
      <c r="A34" s="616" t="s">
        <v>248</v>
      </c>
      <c r="B34" s="603" t="s">
        <v>249</v>
      </c>
      <c r="C34" s="603" t="s">
        <v>206</v>
      </c>
      <c r="D34" s="620" t="str">
        <f>'[1]7.7 Environment-Other'!F13&amp;" : "&amp;'[1]7.7 Environment-Other'!F14</f>
        <v>0 : 0</v>
      </c>
    </row>
    <row r="35" spans="1:4" ht="16.5" customHeight="1">
      <c r="A35" s="605" t="s">
        <v>250</v>
      </c>
      <c r="B35" s="606"/>
      <c r="C35" s="606"/>
      <c r="D35" s="621"/>
    </row>
    <row r="36" spans="1:4" ht="16.5" customHeight="1">
      <c r="A36" s="577" t="s">
        <v>251</v>
      </c>
      <c r="B36" s="609" t="s">
        <v>252</v>
      </c>
      <c r="C36" s="609" t="s">
        <v>253</v>
      </c>
      <c r="D36" s="618">
        <f>'2.2 Totex costs summary'!$H$37</f>
        <v>224.69029715517445</v>
      </c>
    </row>
    <row r="37" spans="1:4" ht="16.5" customHeight="1">
      <c r="A37" s="577" t="s">
        <v>254</v>
      </c>
      <c r="B37" s="609" t="s">
        <v>229</v>
      </c>
      <c r="C37" s="609" t="s">
        <v>206</v>
      </c>
      <c r="D37" s="619">
        <f>-'2.2 Totex costs summary'!AD137</f>
        <v>0.19274968129907827</v>
      </c>
    </row>
    <row r="38" spans="1:4" ht="16.5" customHeight="1" thickBot="1">
      <c r="A38" s="580" t="s">
        <v>255</v>
      </c>
      <c r="B38" s="622" t="s">
        <v>252</v>
      </c>
      <c r="C38" s="623" t="s">
        <v>206</v>
      </c>
      <c r="D38" s="624">
        <f>'2.2 Totex costs summary'!$H$43</f>
        <v>98.233866207821578</v>
      </c>
    </row>
    <row r="39" spans="1:4">
      <c r="A39" s="625"/>
      <c r="B39" s="625"/>
      <c r="C39" s="625"/>
      <c r="D39" s="626"/>
    </row>
  </sheetData>
  <mergeCells count="6">
    <mergeCell ref="A5:B5"/>
    <mergeCell ref="A8:B8"/>
    <mergeCell ref="A10:A12"/>
    <mergeCell ref="A15:B15"/>
    <mergeCell ref="A26:D26"/>
    <mergeCell ref="A31:B31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2.2 Totex costs summary</vt:lpstr>
      <vt:lpstr>2.3 Workload summary</vt:lpstr>
      <vt:lpstr>2.4 Safety</vt:lpstr>
      <vt:lpstr>2.5 Reliability</vt:lpstr>
      <vt:lpstr>2.6 Environmental</vt:lpstr>
      <vt:lpstr>2.7 Performance Snapshot</vt:lpstr>
      <vt:lpstr>'2.7 Performance Snapshot'!_ftnref5</vt:lpstr>
      <vt:lpstr>'2.7 Performance Snapshot'!_Ref457995664</vt:lpstr>
      <vt:lpstr>'2.4 Safety'!Print_Area</vt:lpstr>
      <vt:lpstr>'2.7 Performance Snapshot'!Print_Area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Woolway</dc:creator>
  <cp:lastModifiedBy>Mark Woolway</cp:lastModifiedBy>
  <dcterms:created xsi:type="dcterms:W3CDTF">2020-08-28T08:34:30Z</dcterms:created>
  <dcterms:modified xsi:type="dcterms:W3CDTF">2020-08-28T08:35:38Z</dcterms:modified>
</cp:coreProperties>
</file>