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GDPCR Main - docs for review\2017-18 Actual results\"/>
    </mc:Choice>
  </mc:AlternateContent>
  <bookViews>
    <workbookView xWindow="0" yWindow="0" windowWidth="20160" windowHeight="8196"/>
  </bookViews>
  <sheets>
    <sheet name="Totex costs summary" sheetId="2" r:id="rId1"/>
    <sheet name="Workload summary" sheetId="3" r:id="rId2"/>
    <sheet name="Safety" sheetId="4" r:id="rId3"/>
    <sheet name="Reliability" sheetId="5" r:id="rId4"/>
    <sheet name="Environmental" sheetId="6" r:id="rId5"/>
    <sheet name="Guaranteed Standards " sheetId="7" r:id="rId6"/>
    <sheet name="Licence Condition D10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hom1" hidden="1">{#N/A,#N/A,FALSE,"Assessment";#N/A,#N/A,FALSE,"Staffing";#N/A,#N/A,FALSE,"Hires";#N/A,#N/A,FALSE,"Assumptions"}</definedName>
    <definedName name="________k1" hidden="1">{#N/A,#N/A,FALSE,"Assessment";#N/A,#N/A,FALSE,"Staffing";#N/A,#N/A,FALSE,"Hires";#N/A,#N/A,FALSE,"Assumptions"}</definedName>
    <definedName name="________kk1" hidden="1">{#N/A,#N/A,FALSE,"Assessment";#N/A,#N/A,FALSE,"Staffing";#N/A,#N/A,FALSE,"Hires";#N/A,#N/A,FALSE,"Assumptions"}</definedName>
    <definedName name="________KKK1" hidden="1">{#N/A,#N/A,FALSE,"Assessment";#N/A,#N/A,FALSE,"Staffing";#N/A,#N/A,FALSE,"Hires";#N/A,#N/A,FALSE,"Assumptions"}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hidden="1">{"holdco",#N/A,FALSE,"Summary Financials";"holdco",#N/A,FALSE,"Summary Financials"}</definedName>
    <definedName name="_______bb2" hidden="1">{#N/A,#N/A,FALSE,"PRJCTED MNTHLY QTY's"}</definedName>
    <definedName name="_______Lee5" hidden="1">{#VALUE!,#N/A,FALSE,0}</definedName>
    <definedName name="______hom1" hidden="1">{#N/A,#N/A,FALSE,"Assessment";#N/A,#N/A,FALSE,"Staffing";#N/A,#N/A,FALSE,"Hires";#N/A,#N/A,FALSE,"Assumptions"}</definedName>
    <definedName name="______k1" hidden="1">{#N/A,#N/A,FALSE,"Assessment";#N/A,#N/A,FALSE,"Staffing";#N/A,#N/A,FALSE,"Hires";#N/A,#N/A,FALSE,"Assumptions"}</definedName>
    <definedName name="______kk1" hidden="1">{#N/A,#N/A,FALSE,"Assessment";#N/A,#N/A,FALSE,"Staffing";#N/A,#N/A,FALSE,"Hires";#N/A,#N/A,FALSE,"Assumptions"}</definedName>
    <definedName name="______KKK1" hidden="1">{#N/A,#N/A,FALSE,"Assessment";#N/A,#N/A,FALSE,"Staffing";#N/A,#N/A,FALSE,"Hires";#N/A,#N/A,FALSE,"Assumptions"}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hidden="1">{"holdco",#N/A,FALSE,"Summary Financials";"holdco",#N/A,FALSE,"Summary Financials"}</definedName>
    <definedName name="_____KKK1" hidden="1">{#N/A,#N/A,FALSE,"Assessment";#N/A,#N/A,FALSE,"Staffing";#N/A,#N/A,FALSE,"Hires";#N/A,#N/A,FALSE,"Assumptions"}</definedName>
    <definedName name="_____wrn1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hidden="1">{"holdco",#N/A,FALSE,"Summary Financials";"holdco",#N/A,FALSE,"Summary Financials"}</definedName>
    <definedName name="__123Graph_B" hidden="1">'[1]Universal data'!#REF!</definedName>
    <definedName name="__123Graph_C" hidden="1">'[1]Universal data'!#REF!</definedName>
    <definedName name="__123Graph_D" hidden="1">'[1]Universal data'!#REF!</definedName>
    <definedName name="__123Graph_X" hidden="1">'[1]Universal data'!#REF!</definedName>
    <definedName name="__FDS_HYPERLINK_TOGGLE_STATE__" hidden="1">"ON"</definedName>
    <definedName name="__hom1" hidden="1">{#N/A,#N/A,FALSE,"Assessment";#N/A,#N/A,FALSE,"Staffing";#N/A,#N/A,FALSE,"Hires";#N/A,#N/A,FALSE,"Assumptions"}</definedName>
    <definedName name="__IntlFixup" hidden="1">TRUE</definedName>
    <definedName name="__kk1" hidden="1">{#N/A,#N/A,FALSE,"Assessment";#N/A,#N/A,FALSE,"Staffing";#N/A,#N/A,FALSE,"Hires";#N/A,#N/A,FALSE,"Assumptions"}</definedName>
    <definedName name="__KKK1" hidden="1">{#N/A,#N/A,FALSE,"Assessment";#N/A,#N/A,FALSE,"Staffing";#N/A,#N/A,FALSE,"Hires";#N/A,#N/A,FALSE,"Assumptions"}</definedName>
    <definedName name="__wrn1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hidden="1">{"holdco",#N/A,FALSE,"Summary Financials";"holdco",#N/A,FALSE,"Summary Financials"}</definedName>
    <definedName name="_139__123Graph_LBL_DCHART_3" hidden="1">[2]Graphs!$D$59:$D$59</definedName>
    <definedName name="_142__123Graph_LBL_FCHART_1" hidden="1">[2]Graphs!$G$59:$G$59</definedName>
    <definedName name="_143__123Graph_LBL_FCHART_3" hidden="1">[2]Graphs!$G$59:$G$59</definedName>
    <definedName name="_33__123Graph_LBL_ECHART_3" hidden="1">[2]Graphs!$F$59:$F$59</definedName>
    <definedName name="_34__123Graph_LBL_FCHART_1" hidden="1">[2]Graphs!$G$59:$G$59</definedName>
    <definedName name="_35__123Graph_LBL_FCHART_3" hidden="1">[2]Graphs!$G$59:$G$59</definedName>
    <definedName name="_49__123Graph_LBL_FCHART_1" hidden="1">[2]Graphs!$G$59:$G$59</definedName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" hidden="1">#REF!</definedName>
    <definedName name="AAA_duser" hidden="1">"OFF"</definedName>
    <definedName name="AAB_GSPPG" hidden="1">"AAB_Goldman Sachs PPG Chart Utilities 1.0g"</definedName>
    <definedName name="AccessDatabase" hidden="1">"C:\DATA\KEVIN\MODELS\Model 0218.mdb"</definedName>
    <definedName name="ACwvu.CapersView." hidden="1">[3]Sheet1!#REF!</definedName>
    <definedName name="ACwvu.Japan_Capers_Ed_Pub." hidden="1">#REF!</definedName>
    <definedName name="ACwvu.KJP_CC." hidden="1">#REF!</definedName>
    <definedName name="Baseline_Risk">#REF!</definedName>
    <definedName name="BExEZ4HBCC06708765M8A06KCR7P" hidden="1">#N/A</definedName>
    <definedName name="BLPH1" hidden="1">[4]Sheet2!#REF!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[4]Sheet2!#REF!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'[5]Risk-Free Rate'!$AQ$15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18" hidden="1">#REF!</definedName>
    <definedName name="BLPH219" hidden="1">#REF!</definedName>
    <definedName name="BLPH22" hidden="1">'[5]Risk-Free Rate'!$AN$15</definedName>
    <definedName name="BLPH220" hidden="1">#REF!</definedName>
    <definedName name="BLPH221" hidden="1">#REF!</definedName>
    <definedName name="BLPH222" hidden="1">#REF!</definedName>
    <definedName name="BLPH223" hidden="1">#REF!</definedName>
    <definedName name="BLPH224" hidden="1">#REF!</definedName>
    <definedName name="BLPH225" hidden="1">#REF!</definedName>
    <definedName name="BLPH226" hidden="1">#REF!</definedName>
    <definedName name="BLPH227" hidden="1">#REF!</definedName>
    <definedName name="BLPH228" hidden="1">#REF!</definedName>
    <definedName name="BLPH229" hidden="1">#REF!</definedName>
    <definedName name="BLPH23" hidden="1">'[5]Risk-Free Rate'!$AK$15</definedName>
    <definedName name="BLPH230" hidden="1">#REF!</definedName>
    <definedName name="BLPH231" hidden="1">#REF!</definedName>
    <definedName name="BLPH232" hidden="1">#REF!</definedName>
    <definedName name="BLPH233" hidden="1">#REF!</definedName>
    <definedName name="BLPH234" hidden="1">#REF!</definedName>
    <definedName name="BLPH235" hidden="1">#REF!</definedName>
    <definedName name="BLPH236" hidden="1">#REF!</definedName>
    <definedName name="BLPH237" hidden="1">#REF!</definedName>
    <definedName name="BLPH238" hidden="1">#REF!</definedName>
    <definedName name="BLPH239" hidden="1">#REF!</definedName>
    <definedName name="BLPH24" hidden="1">'[5]Risk-Free Rate'!$AH$15</definedName>
    <definedName name="BLPH240" hidden="1">#REF!</definedName>
    <definedName name="BLPH241" hidden="1">#REF!</definedName>
    <definedName name="BLPH242" hidden="1">#REF!</definedName>
    <definedName name="BLPH243" hidden="1">#REF!</definedName>
    <definedName name="BLPH244" hidden="1">#REF!</definedName>
    <definedName name="BLPH245" hidden="1">#REF!</definedName>
    <definedName name="BLPH246" hidden="1">#REF!</definedName>
    <definedName name="BLPH247" hidden="1">#REF!</definedName>
    <definedName name="BLPH248" hidden="1">#REF!</definedName>
    <definedName name="BLPH249" hidden="1">#REF!</definedName>
    <definedName name="BLPH25" hidden="1">'[5]Risk-Free Rate'!$AE$15</definedName>
    <definedName name="BLPH250" hidden="1">#REF!</definedName>
    <definedName name="BLPH251" hidden="1">#REF!</definedName>
    <definedName name="BLPH252" hidden="1">#REF!</definedName>
    <definedName name="BLPH253" hidden="1">#REF!</definedName>
    <definedName name="BLPH254" hidden="1">#REF!</definedName>
    <definedName name="BLPH255" hidden="1">#REF!</definedName>
    <definedName name="BLPH256" hidden="1">#REF!</definedName>
    <definedName name="BLPH257" hidden="1">#REF!</definedName>
    <definedName name="BLPH258" hidden="1">#REF!</definedName>
    <definedName name="BLPH259" hidden="1">#REF!</definedName>
    <definedName name="BLPH26" hidden="1">'[5]Risk-Free Rate'!$AB$15</definedName>
    <definedName name="BLPH260" hidden="1">#REF!</definedName>
    <definedName name="BLPH261" hidden="1">#REF!</definedName>
    <definedName name="BLPH262" hidden="1">#REF!</definedName>
    <definedName name="BLPH263" hidden="1">#REF!</definedName>
    <definedName name="BLPH264" hidden="1">#REF!</definedName>
    <definedName name="BLPH265" hidden="1">#REF!</definedName>
    <definedName name="BLPH266" hidden="1">#REF!</definedName>
    <definedName name="BLPH267" hidden="1">#REF!</definedName>
    <definedName name="BLPH268" hidden="1">#REF!</definedName>
    <definedName name="BLPH269" hidden="1">#REF!</definedName>
    <definedName name="BLPH27" hidden="1">'[5]Risk-Free Rate'!$Y$15</definedName>
    <definedName name="BLPH270" hidden="1">#REF!</definedName>
    <definedName name="BLPH271" hidden="1">#REF!</definedName>
    <definedName name="BLPH272" hidden="1">#REF!</definedName>
    <definedName name="BLPH273" hidden="1">#REF!</definedName>
    <definedName name="BLPH274" hidden="1">#REF!</definedName>
    <definedName name="BLPH275" hidden="1">#REF!</definedName>
    <definedName name="BLPH276" hidden="1">#REF!</definedName>
    <definedName name="BLPH277" hidden="1">#REF!</definedName>
    <definedName name="BLPH278" hidden="1">#REF!</definedName>
    <definedName name="BLPH279" hidden="1">#REF!</definedName>
    <definedName name="BLPH28" hidden="1">'[5]Risk-Free Rate'!$V$15</definedName>
    <definedName name="BLPH280" hidden="1">#REF!</definedName>
    <definedName name="BLPH281" hidden="1">#REF!</definedName>
    <definedName name="BLPH282" hidden="1">#REF!</definedName>
    <definedName name="BLPH283" hidden="1">#REF!</definedName>
    <definedName name="BLPH284" hidden="1">#REF!</definedName>
    <definedName name="BLPH285" hidden="1">#REF!</definedName>
    <definedName name="BLPH286" hidden="1">#REF!</definedName>
    <definedName name="BLPH287" hidden="1">#REF!</definedName>
    <definedName name="BLPH288" hidden="1">#REF!</definedName>
    <definedName name="BLPH289" hidden="1">#REF!</definedName>
    <definedName name="BLPH29" hidden="1">'[5]Risk-Free Rate'!$S$15</definedName>
    <definedName name="BLPH290" hidden="1">#REF!</definedName>
    <definedName name="BLPH291" hidden="1">#REF!</definedName>
    <definedName name="BLPH292" hidden="1">#REF!</definedName>
    <definedName name="BLPH293" hidden="1">#REF!</definedName>
    <definedName name="BLPH294" hidden="1">#REF!</definedName>
    <definedName name="BLPH295" hidden="1">#REF!</definedName>
    <definedName name="BLPH296" hidden="1">#REF!</definedName>
    <definedName name="BLPH297" hidden="1">#REF!</definedName>
    <definedName name="BLPH298" hidden="1">#REF!</definedName>
    <definedName name="BLPH299" hidden="1">#REF!</definedName>
    <definedName name="BLPH3" hidden="1">#REF!</definedName>
    <definedName name="BLPH30" hidden="1">'[5]Risk-Free Rate'!$P$15</definedName>
    <definedName name="BLPH300" hidden="1">#REF!</definedName>
    <definedName name="BLPH301" hidden="1">#REF!</definedName>
    <definedName name="BLPH302" hidden="1">#REF!</definedName>
    <definedName name="BLPH303" hidden="1">#REF!</definedName>
    <definedName name="BLPH304" hidden="1">#REF!</definedName>
    <definedName name="BLPH305" hidden="1">#REF!</definedName>
    <definedName name="BLPH306" hidden="1">#REF!</definedName>
    <definedName name="BLPH307" hidden="1">#REF!</definedName>
    <definedName name="BLPH308" hidden="1">#REF!</definedName>
    <definedName name="BLPH309" hidden="1">#REF!</definedName>
    <definedName name="BLPH31" hidden="1">'[5]Risk-Free Rate'!$M$15</definedName>
    <definedName name="BLPH310" hidden="1">#REF!</definedName>
    <definedName name="BLPH311" hidden="1">#REF!</definedName>
    <definedName name="BLPH312" hidden="1">#REF!</definedName>
    <definedName name="BLPH313" hidden="1">#REF!</definedName>
    <definedName name="BLPH314" hidden="1">#REF!</definedName>
    <definedName name="BLPH315" hidden="1">#REF!</definedName>
    <definedName name="BLPH316" hidden="1">#REF!</definedName>
    <definedName name="BLPH317" hidden="1">#REF!</definedName>
    <definedName name="BLPH318" hidden="1">#REF!</definedName>
    <definedName name="BLPH319" hidden="1">#REF!</definedName>
    <definedName name="BLPH32" hidden="1">'[5]Risk-Free Rate'!$J$15</definedName>
    <definedName name="BLPH320" hidden="1">#REF!</definedName>
    <definedName name="BLPH321" hidden="1">#REF!</definedName>
    <definedName name="BLPH322" hidden="1">#REF!</definedName>
    <definedName name="BLPH323" hidden="1">#REF!</definedName>
    <definedName name="BLPH324" hidden="1">#REF!</definedName>
    <definedName name="BLPH325" hidden="1">#REF!</definedName>
    <definedName name="BLPH326" hidden="1">#REF!</definedName>
    <definedName name="BLPH327" hidden="1">#REF!</definedName>
    <definedName name="BLPH328" hidden="1">#REF!</definedName>
    <definedName name="BLPH329" hidden="1">#REF!</definedName>
    <definedName name="BLPH33" hidden="1">'[5]Risk-Free Rate'!$G$15</definedName>
    <definedName name="BLPH330" hidden="1">#REF!</definedName>
    <definedName name="BLPH331" hidden="1">#REF!</definedName>
    <definedName name="BLPH332" hidden="1">#REF!</definedName>
    <definedName name="BLPH333" hidden="1">#REF!</definedName>
    <definedName name="BLPH334" hidden="1">#REF!</definedName>
    <definedName name="BLPH335" hidden="1">#REF!</definedName>
    <definedName name="BLPH336" hidden="1">#REF!</definedName>
    <definedName name="BLPH337" hidden="1">#REF!</definedName>
    <definedName name="BLPH338" hidden="1">#REF!</definedName>
    <definedName name="BLPH339" hidden="1">#REF!</definedName>
    <definedName name="BLPH34" hidden="1">'[5]Risk-Free Rate'!$D$15</definedName>
    <definedName name="BLPH340" hidden="1">#REF!</definedName>
    <definedName name="BLPH341" hidden="1">#REF!</definedName>
    <definedName name="BLPH342" hidden="1">#REF!</definedName>
    <definedName name="BLPH343" hidden="1">#REF!</definedName>
    <definedName name="BLPH344" hidden="1">#REF!</definedName>
    <definedName name="BLPH345" hidden="1">#REF!</definedName>
    <definedName name="BLPH346" hidden="1">#REF!</definedName>
    <definedName name="BLPH347" hidden="1">#REF!</definedName>
    <definedName name="BLPH348" hidden="1">#REF!</definedName>
    <definedName name="BLPH349" hidden="1">#REF!</definedName>
    <definedName name="BLPH35" hidden="1">'[5]Risk-Free Rate'!$A$15</definedName>
    <definedName name="BLPH350" hidden="1">#REF!</definedName>
    <definedName name="BLPH351" hidden="1">#REF!</definedName>
    <definedName name="BLPH352" hidden="1">#REF!</definedName>
    <definedName name="BLPH353" hidden="1">#REF!</definedName>
    <definedName name="BLPH354" hidden="1">#REF!</definedName>
    <definedName name="BLPH355" hidden="1">#REF!</definedName>
    <definedName name="BLPH356" hidden="1">#REF!</definedName>
    <definedName name="BLPH357" hidden="1">#REF!</definedName>
    <definedName name="BLPH358" hidden="1">#REF!</definedName>
    <definedName name="BLPH359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[4]Sheet2!#REF!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Combine_Lookup">#REF!</definedName>
    <definedName name="Combine_Valid">'[6]5.8 Decommissioned Sum '!#REF!</definedName>
    <definedName name="Cwvu.CapersView." hidden="1">[3]Sheet1!#REF!</definedName>
    <definedName name="Cwvu.Japan_Capers_Ed_Pub." hidden="1">[3]Sheet1!#REF!</definedName>
    <definedName name="Dia_Valid">'[6]5.8 Decommissioned Sum '!#REF!</definedName>
    <definedName name="Dist_Valid">'[6]5.8 Decommissioned Sum '!#REF!</definedName>
    <definedName name="Driver_Valid">'[6]5.8 Decommissioned Sum '!#REF!</definedName>
    <definedName name="gwge" hidden="1">#REF!</definedName>
    <definedName name="HTML_CodePage" hidden="1">1252</definedName>
    <definedName name="HTML_Description" hidden="1">"DRAFT"</definedName>
    <definedName name="HTML_Email" hidden="1">"Patrick_Blattner@Studio.Disney.com"</definedName>
    <definedName name="HTML_Header" hidden="1">"EXISTING &amp; FUTURE PRODUCTS (CONFIDENTIAL)"</definedName>
    <definedName name="HTML_LastUpdate" hidden="1">"2/8/98"</definedName>
    <definedName name="HTML_LineAfter" hidden="1">FALSE</definedName>
    <definedName name="HTML_LineBefore" hidden="1">TRUE</definedName>
    <definedName name="HTML_Name" hidden="1">"Patrick Blattner"</definedName>
    <definedName name="HTML_OBDlg2" hidden="1">TRUE</definedName>
    <definedName name="HTML_OBDlg4" hidden="1">TRUE</definedName>
    <definedName name="HTML_OS" hidden="1">0</definedName>
    <definedName name="HTML_PathFile" hidden="1">"K:\ANIMATE\SECURE\Production\INTRANET\ANI.HTML.htm"</definedName>
    <definedName name="HTML_Title" hidden="1">"2D ANIMATION PRODUCTION TABLE"</definedName>
    <definedName name="ListOffset" hidden="1">1</definedName>
    <definedName name="Mat__Type_Array">'[6]5.8 Decommissioned Sum '!#REF!</definedName>
    <definedName name="Mat_Type_Row">#REF!</definedName>
    <definedName name="Mat_Valid">'[6]5.8 Decommissioned Sum '!#REF!</definedName>
    <definedName name="Pal_Workbook_GUID" hidden="1">"LJ9YVKRJVQ1A1KNUG7XIT5A9"</definedName>
    <definedName name="Pipe_Length">#REF!</definedName>
    <definedName name="_xlnm.Print_Area" localSheetId="5">'Guaranteed Standards '!$A$1:$N$260</definedName>
    <definedName name="_xlnm.Print_Area" localSheetId="2">Safety!$A$1:$AE$83</definedName>
    <definedName name="_xlnm.Print_Area" localSheetId="0">'Totex costs summary'!$A$1:$AF$238</definedName>
    <definedName name="_xlnm.Print_Area" localSheetId="1">'Workload summary'!$A$1:$AI$92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wvu.CapersView." hidden="1">#REF!</definedName>
    <definedName name="Rwvu.Japan_Capers_Ed_Pub." hidden="1">#REF!</definedName>
    <definedName name="Rwvu.KJP_CC.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"3M0Y5JZ0K259IJHR15SO2N9QE"</definedName>
    <definedName name="SAPsysID" hidden="1">"708C5W7SBKP804JT78WJ0JNKI"</definedName>
    <definedName name="SAPwbID" hidden="1">"ARS"</definedName>
    <definedName name="select_GDN_name">'[7]2. Out of area networks'!$L$188:$L$195</definedName>
    <definedName name="Sum_Length">#REF!</definedName>
    <definedName name="Swvu.CapersView." hidden="1">[3]Sheet1!#REF!</definedName>
    <definedName name="Swvu.Japan_Capers_Ed_Pub." hidden="1">#REF!</definedName>
    <definedName name="Swvu.KJP_CC." hidden="1">#REF!</definedName>
    <definedName name="Tier_Lookup">'[6]5.8 Decommissioned Sum '!#REF!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_Valid">'[6]5.8 Decommissioned Sum '!#REF!</definedName>
    <definedName name="Z_19FDD237_8F16_4F3B_A94F_90481855813E_.wvu.PrintArea" localSheetId="5" hidden="1">'Guaranteed Standards '!$A$1:$O$260</definedName>
    <definedName name="Z_19FDD237_8F16_4F3B_A94F_90481855813E_.wvu.PrintArea" localSheetId="2" hidden="1">Safety!$A$1:$AE$83</definedName>
    <definedName name="Z_97003408_5582_4B4E_BE5D_0A5F17467E22_.wvu.PrintArea" localSheetId="5" hidden="1">'Guaranteed Standards '!$A$1:$O$260</definedName>
    <definedName name="Z_97003408_5582_4B4E_BE5D_0A5F17467E22_.wvu.PrintArea" localSheetId="2" hidden="1">Safety!$A$1:$AE$83</definedName>
    <definedName name="Z_9A428CE1_B4D9_11D0_A8AA_0000C071AEE7_.wvu.Cols" hidden="1">[3]Sheet1!$A$1:$Q$65536,[3]Sheet1!$Y$1:$Z$65536</definedName>
    <definedName name="Z_9A428CE1_B4D9_11D0_A8AA_0000C071AEE7_.wvu.PrintArea" hidden="1">#REF!</definedName>
    <definedName name="Z_CE066BD8_0FDF_4A69_A83A_AA53661F8FEE_.wvu.PrintArea" localSheetId="5" hidden="1">'Guaranteed Standards '!$A$1:$O$260</definedName>
    <definedName name="Z_CE066BD8_0FDF_4A69_A83A_AA53661F8FEE_.wvu.PrintArea" localSheetId="2" hidden="1">Safety!$A$1:$AE$83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8" l="1"/>
  <c r="J26" i="8"/>
  <c r="J27" i="8" s="1"/>
  <c r="J255" i="7"/>
  <c r="J254" i="7"/>
  <c r="J257" i="7"/>
  <c r="J248" i="7"/>
  <c r="J256" i="7" s="1"/>
  <c r="J240" i="7"/>
  <c r="J230" i="7"/>
  <c r="J229" i="7"/>
  <c r="L231" i="7"/>
  <c r="J223" i="7"/>
  <c r="J224" i="7"/>
  <c r="J216" i="7"/>
  <c r="K214" i="7"/>
  <c r="K212" i="7"/>
  <c r="L216" i="7"/>
  <c r="K216" i="7"/>
  <c r="K260" i="7" s="1"/>
  <c r="K215" i="7"/>
  <c r="J215" i="7"/>
  <c r="L214" i="7"/>
  <c r="J214" i="7"/>
  <c r="K213" i="7"/>
  <c r="J213" i="7"/>
  <c r="J57" i="8" s="1"/>
  <c r="J212" i="7"/>
  <c r="J167" i="7"/>
  <c r="K167" i="7"/>
  <c r="K158" i="7"/>
  <c r="J158" i="7"/>
  <c r="J46" i="8" s="1"/>
  <c r="J41" i="8"/>
  <c r="K142" i="7"/>
  <c r="J34" i="8"/>
  <c r="J33" i="8"/>
  <c r="J32" i="8"/>
  <c r="J31" i="8"/>
  <c r="J24" i="8"/>
  <c r="K112" i="7"/>
  <c r="J112" i="7"/>
  <c r="J23" i="8" s="1"/>
  <c r="J18" i="8"/>
  <c r="K96" i="7"/>
  <c r="J15" i="8" s="1"/>
  <c r="J16" i="8"/>
  <c r="J17" i="8" s="1"/>
  <c r="J96" i="7"/>
  <c r="J10" i="8"/>
  <c r="J11" i="8" s="1"/>
  <c r="K80" i="7"/>
  <c r="J80" i="7"/>
  <c r="J7" i="8" s="1"/>
  <c r="J75" i="7"/>
  <c r="J73" i="7"/>
  <c r="J69" i="7"/>
  <c r="L75" i="7"/>
  <c r="J65" i="7"/>
  <c r="J61" i="7"/>
  <c r="J53" i="7"/>
  <c r="L54" i="7"/>
  <c r="J51" i="7"/>
  <c r="J54" i="7" s="1"/>
  <c r="L43" i="7"/>
  <c r="J43" i="7"/>
  <c r="J41" i="7"/>
  <c r="J44" i="7" s="1"/>
  <c r="J56" i="7" s="1"/>
  <c r="J45" i="7"/>
  <c r="L30" i="7"/>
  <c r="L32" i="7" s="1"/>
  <c r="J28" i="7"/>
  <c r="J26" i="7"/>
  <c r="J30" i="7" s="1"/>
  <c r="J31" i="7"/>
  <c r="J16" i="7"/>
  <c r="L18" i="7"/>
  <c r="J14" i="7"/>
  <c r="J18" i="7" s="1"/>
  <c r="X50" i="6"/>
  <c r="R50" i="6"/>
  <c r="AB50" i="6" s="1"/>
  <c r="D39" i="6"/>
  <c r="N50" i="6" s="1"/>
  <c r="S50" i="6"/>
  <c r="AC50" i="6" s="1"/>
  <c r="Q50" i="6"/>
  <c r="AA50" i="6" s="1"/>
  <c r="P50" i="6"/>
  <c r="Z50" i="6" s="1"/>
  <c r="E39" i="6"/>
  <c r="O50" i="6" s="1"/>
  <c r="Y50" i="6" s="1"/>
  <c r="C39" i="6"/>
  <c r="M50" i="6" s="1"/>
  <c r="W50" i="6" s="1"/>
  <c r="B39" i="6"/>
  <c r="L50" i="6" s="1"/>
  <c r="V50" i="6" s="1"/>
  <c r="B38" i="6"/>
  <c r="H52" i="6" s="1"/>
  <c r="D26" i="6"/>
  <c r="S24" i="6"/>
  <c r="AC24" i="6" s="1"/>
  <c r="E13" i="6"/>
  <c r="O24" i="6" s="1"/>
  <c r="Y24" i="6" s="1"/>
  <c r="B12" i="6"/>
  <c r="I26" i="6" s="1"/>
  <c r="B15" i="6"/>
  <c r="L25" i="6" s="1"/>
  <c r="V25" i="6" s="1"/>
  <c r="R24" i="6"/>
  <c r="AB24" i="6" s="1"/>
  <c r="Q24" i="6"/>
  <c r="AA24" i="6" s="1"/>
  <c r="P24" i="6"/>
  <c r="Z24" i="6" s="1"/>
  <c r="D13" i="6"/>
  <c r="N24" i="6" s="1"/>
  <c r="X24" i="6" s="1"/>
  <c r="C13" i="6"/>
  <c r="M24" i="6" s="1"/>
  <c r="W24" i="6" s="1"/>
  <c r="B13" i="6"/>
  <c r="L24" i="6" s="1"/>
  <c r="V24" i="6" s="1"/>
  <c r="I114" i="5"/>
  <c r="H114" i="5"/>
  <c r="G114" i="5"/>
  <c r="F114" i="5"/>
  <c r="AB104" i="5"/>
  <c r="X104" i="5"/>
  <c r="Q104" i="5"/>
  <c r="M104" i="5"/>
  <c r="AC98" i="5"/>
  <c r="R98" i="5"/>
  <c r="N98" i="5"/>
  <c r="Y98" i="5" s="1"/>
  <c r="D91" i="5"/>
  <c r="J98" i="5"/>
  <c r="S104" i="5"/>
  <c r="AD104" i="5" s="1"/>
  <c r="R104" i="5"/>
  <c r="AC104" i="5" s="1"/>
  <c r="Q98" i="5"/>
  <c r="AB98" i="5" s="1"/>
  <c r="E91" i="5"/>
  <c r="C91" i="5"/>
  <c r="B91" i="5"/>
  <c r="M98" i="5" s="1"/>
  <c r="X98" i="5" s="1"/>
  <c r="AB81" i="5"/>
  <c r="R81" i="5"/>
  <c r="AC81" i="5" s="1"/>
  <c r="Q75" i="5"/>
  <c r="AB75" i="5" s="1"/>
  <c r="M75" i="5"/>
  <c r="X75" i="5" s="1"/>
  <c r="C68" i="5"/>
  <c r="T75" i="5"/>
  <c r="AE75" i="5" s="1"/>
  <c r="R75" i="5"/>
  <c r="AC75" i="5" s="1"/>
  <c r="Q81" i="5"/>
  <c r="E68" i="5"/>
  <c r="P75" i="5" s="1"/>
  <c r="AA75" i="5" s="1"/>
  <c r="D68" i="5"/>
  <c r="B68" i="5"/>
  <c r="M81" i="5" s="1"/>
  <c r="X81" i="5" s="1"/>
  <c r="AD49" i="5"/>
  <c r="T49" i="5"/>
  <c r="AE49" i="5" s="1"/>
  <c r="P49" i="5"/>
  <c r="AA49" i="5" s="1"/>
  <c r="Q49" i="5"/>
  <c r="AB49" i="5" s="1"/>
  <c r="B40" i="5"/>
  <c r="S48" i="5"/>
  <c r="AD48" i="5" s="1"/>
  <c r="O48" i="5"/>
  <c r="Z48" i="5" s="1"/>
  <c r="E39" i="5"/>
  <c r="C39" i="5"/>
  <c r="F41" i="5"/>
  <c r="Q50" i="5" s="1"/>
  <c r="AB50" i="5" s="1"/>
  <c r="S49" i="5"/>
  <c r="E40" i="5"/>
  <c r="D40" i="5"/>
  <c r="O49" i="5" s="1"/>
  <c r="Z49" i="5" s="1"/>
  <c r="C40" i="5"/>
  <c r="N49" i="5" s="1"/>
  <c r="Y49" i="5" s="1"/>
  <c r="I41" i="5"/>
  <c r="T50" i="5" s="1"/>
  <c r="AE50" i="5" s="1"/>
  <c r="H41" i="5"/>
  <c r="S50" i="5" s="1"/>
  <c r="AD50" i="5" s="1"/>
  <c r="R48" i="5"/>
  <c r="AC48" i="5" s="1"/>
  <c r="Q48" i="5"/>
  <c r="AB48" i="5" s="1"/>
  <c r="D39" i="5"/>
  <c r="D41" i="5" s="1"/>
  <c r="O50" i="5" s="1"/>
  <c r="Z50" i="5" s="1"/>
  <c r="B39" i="5"/>
  <c r="M48" i="5" s="1"/>
  <c r="X48" i="5" s="1"/>
  <c r="H25" i="5"/>
  <c r="D25" i="5"/>
  <c r="AA24" i="5"/>
  <c r="Q24" i="5"/>
  <c r="AB24" i="5" s="1"/>
  <c r="M24" i="5"/>
  <c r="X24" i="5" s="1"/>
  <c r="C15" i="5"/>
  <c r="N24" i="5" s="1"/>
  <c r="Y24" i="5" s="1"/>
  <c r="AD23" i="5"/>
  <c r="I25" i="5"/>
  <c r="F25" i="5"/>
  <c r="E25" i="5"/>
  <c r="D14" i="5"/>
  <c r="G16" i="5"/>
  <c r="T24" i="5"/>
  <c r="AE24" i="5" s="1"/>
  <c r="E15" i="5"/>
  <c r="P24" i="5" s="1"/>
  <c r="D15" i="5"/>
  <c r="O24" i="5" s="1"/>
  <c r="Z24" i="5" s="1"/>
  <c r="B15" i="5"/>
  <c r="I16" i="5"/>
  <c r="T25" i="5" s="1"/>
  <c r="AE25" i="5" s="1"/>
  <c r="S23" i="5"/>
  <c r="R23" i="5"/>
  <c r="AC23" i="5" s="1"/>
  <c r="F16" i="5"/>
  <c r="Q25" i="5" s="1"/>
  <c r="AB25" i="5" s="1"/>
  <c r="E14" i="5"/>
  <c r="C14" i="5"/>
  <c r="N23" i="5" s="1"/>
  <c r="Y23" i="5" s="1"/>
  <c r="B83" i="4"/>
  <c r="S47" i="4"/>
  <c r="AB47" i="4"/>
  <c r="AA47" i="4"/>
  <c r="Z47" i="4"/>
  <c r="E39" i="4"/>
  <c r="D39" i="4"/>
  <c r="X47" i="4" s="1"/>
  <c r="C39" i="4"/>
  <c r="W47" i="4" s="1"/>
  <c r="B39" i="4"/>
  <c r="V47" i="4" s="1"/>
  <c r="V30" i="4"/>
  <c r="H24" i="4"/>
  <c r="AB23" i="4"/>
  <c r="X23" i="4"/>
  <c r="R23" i="4"/>
  <c r="N23" i="4"/>
  <c r="B25" i="4"/>
  <c r="C25" i="4" s="1"/>
  <c r="D25" i="4" s="1"/>
  <c r="E25" i="4" s="1"/>
  <c r="F25" i="4" s="1"/>
  <c r="G25" i="4" s="1"/>
  <c r="H25" i="4" s="1"/>
  <c r="I25" i="4" s="1"/>
  <c r="I24" i="4"/>
  <c r="G24" i="4"/>
  <c r="F24" i="4"/>
  <c r="E24" i="4"/>
  <c r="D24" i="4"/>
  <c r="C24" i="4"/>
  <c r="B24" i="4"/>
  <c r="H14" i="4"/>
  <c r="I12" i="4" s="1"/>
  <c r="I14" i="4" s="1"/>
  <c r="AC23" i="4"/>
  <c r="AA23" i="4"/>
  <c r="Z23" i="4"/>
  <c r="E13" i="4"/>
  <c r="Y23" i="4" s="1"/>
  <c r="D13" i="4"/>
  <c r="C13" i="4"/>
  <c r="W23" i="4" s="1"/>
  <c r="B13" i="4"/>
  <c r="V23" i="4" s="1"/>
  <c r="D12" i="4"/>
  <c r="D14" i="4" s="1"/>
  <c r="E12" i="4" s="1"/>
  <c r="E14" i="4" s="1"/>
  <c r="F12" i="4" s="1"/>
  <c r="F14" i="4" s="1"/>
  <c r="G12" i="4" s="1"/>
  <c r="G14" i="4" s="1"/>
  <c r="H12" i="4" s="1"/>
  <c r="C12" i="4"/>
  <c r="C14" i="4" s="1"/>
  <c r="B12" i="4"/>
  <c r="B14" i="4" s="1"/>
  <c r="P92" i="3"/>
  <c r="K92" i="3"/>
  <c r="S91" i="3"/>
  <c r="K90" i="3"/>
  <c r="AB89" i="3"/>
  <c r="K89" i="3"/>
  <c r="AE88" i="3"/>
  <c r="AH87" i="3"/>
  <c r="O87" i="3"/>
  <c r="K87" i="3"/>
  <c r="K86" i="3"/>
  <c r="U83" i="3"/>
  <c r="AA82" i="3"/>
  <c r="AD81" i="3"/>
  <c r="AG80" i="3"/>
  <c r="K80" i="3"/>
  <c r="Q79" i="3"/>
  <c r="K79" i="3"/>
  <c r="K78" i="3"/>
  <c r="K77" i="3"/>
  <c r="AC76" i="3"/>
  <c r="K73" i="3"/>
  <c r="AH72" i="3"/>
  <c r="O72" i="3"/>
  <c r="K72" i="3"/>
  <c r="R71" i="3"/>
  <c r="U63" i="3"/>
  <c r="AA62" i="3"/>
  <c r="P62" i="3"/>
  <c r="K62" i="3"/>
  <c r="AF61" i="3"/>
  <c r="AB61" i="3"/>
  <c r="U61" i="3"/>
  <c r="Q61" i="3"/>
  <c r="T60" i="3"/>
  <c r="P60" i="3"/>
  <c r="K60" i="3"/>
  <c r="AH59" i="3"/>
  <c r="AD59" i="3"/>
  <c r="S59" i="3"/>
  <c r="O59" i="3"/>
  <c r="V58" i="3"/>
  <c r="R58" i="3"/>
  <c r="K58" i="3"/>
  <c r="AF57" i="3"/>
  <c r="AB57" i="3"/>
  <c r="U57" i="3"/>
  <c r="Q57" i="3"/>
  <c r="K57" i="3"/>
  <c r="AE54" i="3"/>
  <c r="T54" i="3"/>
  <c r="P54" i="3"/>
  <c r="K54" i="3"/>
  <c r="AH53" i="3"/>
  <c r="AD53" i="3"/>
  <c r="S53" i="3"/>
  <c r="O53" i="3"/>
  <c r="K53" i="3"/>
  <c r="V52" i="3"/>
  <c r="R52" i="3"/>
  <c r="K52" i="3"/>
  <c r="AF51" i="3"/>
  <c r="AB51" i="3"/>
  <c r="U51" i="3"/>
  <c r="Q51" i="3"/>
  <c r="AA50" i="3"/>
  <c r="T50" i="3"/>
  <c r="P50" i="3"/>
  <c r="AH49" i="3"/>
  <c r="AD49" i="3"/>
  <c r="S49" i="3"/>
  <c r="O49" i="3"/>
  <c r="V48" i="3"/>
  <c r="R48" i="3"/>
  <c r="K48" i="3"/>
  <c r="AF47" i="3"/>
  <c r="AB47" i="3"/>
  <c r="U47" i="3"/>
  <c r="Q47" i="3"/>
  <c r="K47" i="3"/>
  <c r="T44" i="3"/>
  <c r="P44" i="3"/>
  <c r="AH43" i="3"/>
  <c r="AD43" i="3"/>
  <c r="S43" i="3"/>
  <c r="O43" i="3"/>
  <c r="K43" i="3"/>
  <c r="AC42" i="3"/>
  <c r="V42" i="3"/>
  <c r="R42" i="3"/>
  <c r="K42" i="3"/>
  <c r="AH63" i="3"/>
  <c r="AF63" i="3"/>
  <c r="AA92" i="3"/>
  <c r="T62" i="3"/>
  <c r="U90" i="3"/>
  <c r="Q90" i="3"/>
  <c r="V60" i="3"/>
  <c r="AG89" i="3"/>
  <c r="T89" i="3"/>
  <c r="R60" i="3"/>
  <c r="AC89" i="3"/>
  <c r="P89" i="3"/>
  <c r="S88" i="3"/>
  <c r="O88" i="3"/>
  <c r="V87" i="3"/>
  <c r="T58" i="3"/>
  <c r="AE87" i="3"/>
  <c r="R87" i="3"/>
  <c r="AC58" i="3"/>
  <c r="P58" i="3"/>
  <c r="AA87" i="3"/>
  <c r="U86" i="3"/>
  <c r="R86" i="3"/>
  <c r="Q86" i="3"/>
  <c r="V54" i="3"/>
  <c r="AG83" i="3"/>
  <c r="T83" i="3"/>
  <c r="R54" i="3"/>
  <c r="AC83" i="3"/>
  <c r="P83" i="3"/>
  <c r="S82" i="3"/>
  <c r="O82" i="3"/>
  <c r="V81" i="3"/>
  <c r="T52" i="3"/>
  <c r="AE81" i="3"/>
  <c r="R81" i="3"/>
  <c r="P52" i="3"/>
  <c r="AA81" i="3"/>
  <c r="U80" i="3"/>
  <c r="Q80" i="3"/>
  <c r="V50" i="3"/>
  <c r="AG79" i="3"/>
  <c r="T79" i="3"/>
  <c r="AE50" i="3"/>
  <c r="R50" i="3"/>
  <c r="AC79" i="3"/>
  <c r="P79" i="3"/>
  <c r="T78" i="3"/>
  <c r="S78" i="3"/>
  <c r="O78" i="3"/>
  <c r="V77" i="3"/>
  <c r="T48" i="3"/>
  <c r="AE77" i="3"/>
  <c r="R77" i="3"/>
  <c r="P48" i="3"/>
  <c r="AA77" i="3"/>
  <c r="AG76" i="3"/>
  <c r="AF76" i="3"/>
  <c r="AC47" i="3"/>
  <c r="AB76" i="3"/>
  <c r="O76" i="3"/>
  <c r="AH44" i="3"/>
  <c r="AG44" i="3"/>
  <c r="AF44" i="3"/>
  <c r="S44" i="3"/>
  <c r="AD44" i="3"/>
  <c r="AC44" i="3"/>
  <c r="AB44" i="3"/>
  <c r="O44" i="3"/>
  <c r="V72" i="3"/>
  <c r="AG72" i="3"/>
  <c r="AE72" i="3"/>
  <c r="R72" i="3"/>
  <c r="AC72" i="3"/>
  <c r="AA72" i="3"/>
  <c r="AH71" i="3"/>
  <c r="AG42" i="3"/>
  <c r="AF71" i="3"/>
  <c r="S71" i="3"/>
  <c r="AD71" i="3"/>
  <c r="AB71" i="3"/>
  <c r="O71" i="3"/>
  <c r="F232" i="2"/>
  <c r="B232" i="2"/>
  <c r="J231" i="2"/>
  <c r="J230" i="2"/>
  <c r="J229" i="2"/>
  <c r="F228" i="2"/>
  <c r="B228" i="2"/>
  <c r="J226" i="2"/>
  <c r="H226" i="2"/>
  <c r="H228" i="2" s="1"/>
  <c r="H232" i="2" s="1"/>
  <c r="F226" i="2"/>
  <c r="D226" i="2"/>
  <c r="D228" i="2" s="1"/>
  <c r="D232" i="2" s="1"/>
  <c r="B226" i="2"/>
  <c r="J225" i="2"/>
  <c r="J224" i="2"/>
  <c r="J228" i="2" s="1"/>
  <c r="J232" i="2" s="1"/>
  <c r="J223" i="2"/>
  <c r="J222" i="2"/>
  <c r="J221" i="2"/>
  <c r="F220" i="2"/>
  <c r="B220" i="2"/>
  <c r="J219" i="2"/>
  <c r="J218" i="2"/>
  <c r="J215" i="2"/>
  <c r="J214" i="2"/>
  <c r="I213" i="2"/>
  <c r="G213" i="2"/>
  <c r="E213" i="2"/>
  <c r="C213" i="2"/>
  <c r="J212" i="2"/>
  <c r="J211" i="2"/>
  <c r="F210" i="2"/>
  <c r="F216" i="2" s="1"/>
  <c r="J209" i="2"/>
  <c r="J201" i="2"/>
  <c r="H227" i="2"/>
  <c r="F227" i="2"/>
  <c r="D227" i="2"/>
  <c r="B227" i="2"/>
  <c r="H213" i="2"/>
  <c r="F213" i="2"/>
  <c r="D213" i="2"/>
  <c r="B213" i="2"/>
  <c r="I217" i="2"/>
  <c r="I220" i="2" s="1"/>
  <c r="H217" i="2"/>
  <c r="H220" i="2" s="1"/>
  <c r="G217" i="2"/>
  <c r="G220" i="2" s="1"/>
  <c r="F217" i="2"/>
  <c r="E217" i="2"/>
  <c r="E220" i="2" s="1"/>
  <c r="D217" i="2"/>
  <c r="D220" i="2" s="1"/>
  <c r="C217" i="2"/>
  <c r="C220" i="2" s="1"/>
  <c r="B217" i="2"/>
  <c r="I210" i="2"/>
  <c r="G210" i="2"/>
  <c r="F201" i="2"/>
  <c r="E210" i="2"/>
  <c r="E216" i="2" s="1"/>
  <c r="D210" i="2"/>
  <c r="C210" i="2"/>
  <c r="C216" i="2" s="1"/>
  <c r="B210" i="2"/>
  <c r="G201" i="2"/>
  <c r="C201" i="2"/>
  <c r="AF138" i="2"/>
  <c r="AE138" i="2"/>
  <c r="AD138" i="2"/>
  <c r="AC138" i="2"/>
  <c r="AB138" i="2"/>
  <c r="AA138" i="2"/>
  <c r="Z138" i="2"/>
  <c r="Y138" i="2"/>
  <c r="X138" i="2"/>
  <c r="U136" i="2"/>
  <c r="AF136" i="2" s="1"/>
  <c r="E102" i="2"/>
  <c r="R101" i="2"/>
  <c r="AC101" i="2" s="1"/>
  <c r="Q101" i="2"/>
  <c r="AB101" i="2" s="1"/>
  <c r="D51" i="2"/>
  <c r="O101" i="2" s="1"/>
  <c r="Z101" i="2" s="1"/>
  <c r="AA100" i="2"/>
  <c r="Q100" i="2"/>
  <c r="AB100" i="2" s="1"/>
  <c r="P99" i="2"/>
  <c r="AA99" i="2" s="1"/>
  <c r="S98" i="2"/>
  <c r="AD98" i="2" s="1"/>
  <c r="I102" i="2"/>
  <c r="J102" i="2"/>
  <c r="G102" i="2"/>
  <c r="F102" i="2"/>
  <c r="F104" i="2" s="1"/>
  <c r="C102" i="2"/>
  <c r="B102" i="2"/>
  <c r="B104" i="2" s="1"/>
  <c r="M92" i="2"/>
  <c r="X92" i="2" s="1"/>
  <c r="C42" i="2"/>
  <c r="R91" i="2"/>
  <c r="AC91" i="2" s="1"/>
  <c r="M90" i="2"/>
  <c r="X90" i="2" s="1"/>
  <c r="R89" i="2"/>
  <c r="AC89" i="2" s="1"/>
  <c r="AE88" i="2"/>
  <c r="AC88" i="2"/>
  <c r="AA88" i="2"/>
  <c r="Y88" i="2"/>
  <c r="AF88" i="2"/>
  <c r="AD88" i="2"/>
  <c r="AB88" i="2"/>
  <c r="Z88" i="2"/>
  <c r="X88" i="2"/>
  <c r="Y86" i="2"/>
  <c r="AF86" i="2"/>
  <c r="AE86" i="2"/>
  <c r="AD86" i="2"/>
  <c r="AC86" i="2"/>
  <c r="AB86" i="2"/>
  <c r="AA86" i="2"/>
  <c r="D36" i="2"/>
  <c r="O136" i="2" s="1"/>
  <c r="Z136" i="2" s="1"/>
  <c r="X86" i="2"/>
  <c r="E33" i="2"/>
  <c r="R82" i="2"/>
  <c r="AC82" i="2" s="1"/>
  <c r="N82" i="2"/>
  <c r="Y82" i="2" s="1"/>
  <c r="D32" i="2"/>
  <c r="T80" i="2"/>
  <c r="AE80" i="2" s="1"/>
  <c r="P80" i="2"/>
  <c r="AA80" i="2" s="1"/>
  <c r="B30" i="2"/>
  <c r="E29" i="2"/>
  <c r="R78" i="2"/>
  <c r="AC78" i="2" s="1"/>
  <c r="N78" i="2"/>
  <c r="Y78" i="2" s="1"/>
  <c r="D28" i="2"/>
  <c r="C27" i="2"/>
  <c r="T76" i="2"/>
  <c r="AE76" i="2" s="1"/>
  <c r="P76" i="2"/>
  <c r="AA76" i="2" s="1"/>
  <c r="B26" i="2"/>
  <c r="E25" i="2"/>
  <c r="R74" i="2"/>
  <c r="AC74" i="2" s="1"/>
  <c r="N74" i="2"/>
  <c r="Y74" i="2" s="1"/>
  <c r="D24" i="2"/>
  <c r="T72" i="2"/>
  <c r="AE72" i="2" s="1"/>
  <c r="P72" i="2"/>
  <c r="AA72" i="2" s="1"/>
  <c r="B22" i="2"/>
  <c r="E21" i="2"/>
  <c r="R70" i="2"/>
  <c r="AC70" i="2" s="1"/>
  <c r="N70" i="2"/>
  <c r="Y70" i="2" s="1"/>
  <c r="D20" i="2"/>
  <c r="T68" i="2"/>
  <c r="AE68" i="2" s="1"/>
  <c r="P68" i="2"/>
  <c r="AA68" i="2" s="1"/>
  <c r="B18" i="2"/>
  <c r="E17" i="2"/>
  <c r="R66" i="2"/>
  <c r="AC66" i="2" s="1"/>
  <c r="N66" i="2"/>
  <c r="Y66" i="2" s="1"/>
  <c r="D16" i="2"/>
  <c r="C15" i="2"/>
  <c r="T64" i="2"/>
  <c r="AE64" i="2" s="1"/>
  <c r="P64" i="2"/>
  <c r="AA64" i="2" s="1"/>
  <c r="B14" i="2"/>
  <c r="E13" i="2"/>
  <c r="R62" i="2"/>
  <c r="AC62" i="2" s="1"/>
  <c r="N62" i="2"/>
  <c r="Y62" i="2" s="1"/>
  <c r="D12" i="2"/>
  <c r="G52" i="2"/>
  <c r="R102" i="2" s="1"/>
  <c r="AC102" i="2" s="1"/>
  <c r="T101" i="2"/>
  <c r="AE101" i="2" s="1"/>
  <c r="S101" i="2"/>
  <c r="AD101" i="2" s="1"/>
  <c r="E51" i="2"/>
  <c r="P101" i="2" s="1"/>
  <c r="AA101" i="2" s="1"/>
  <c r="C51" i="2"/>
  <c r="B51" i="2"/>
  <c r="M101" i="2" s="1"/>
  <c r="X101" i="2" s="1"/>
  <c r="T100" i="2"/>
  <c r="AE100" i="2" s="1"/>
  <c r="S100" i="2"/>
  <c r="AD100" i="2" s="1"/>
  <c r="R100" i="2"/>
  <c r="AC100" i="2" s="1"/>
  <c r="E50" i="2"/>
  <c r="P100" i="2" s="1"/>
  <c r="D50" i="2"/>
  <c r="O100" i="2" s="1"/>
  <c r="Z100" i="2" s="1"/>
  <c r="C50" i="2"/>
  <c r="C52" i="2" s="1"/>
  <c r="N102" i="2" s="1"/>
  <c r="Y102" i="2" s="1"/>
  <c r="B50" i="2"/>
  <c r="M100" i="2" s="1"/>
  <c r="X100" i="2" s="1"/>
  <c r="T99" i="2"/>
  <c r="AE99" i="2" s="1"/>
  <c r="R99" i="2"/>
  <c r="AC99" i="2" s="1"/>
  <c r="Q99" i="2"/>
  <c r="AB99" i="2" s="1"/>
  <c r="E49" i="2"/>
  <c r="D49" i="2"/>
  <c r="O99" i="2" s="1"/>
  <c r="Z99" i="2" s="1"/>
  <c r="C49" i="2"/>
  <c r="N99" i="2" s="1"/>
  <c r="Y99" i="2" s="1"/>
  <c r="B49" i="2"/>
  <c r="M99" i="2" s="1"/>
  <c r="X99" i="2" s="1"/>
  <c r="R98" i="2"/>
  <c r="AC98" i="2" s="1"/>
  <c r="Q98" i="2"/>
  <c r="AB98" i="2" s="1"/>
  <c r="E48" i="2"/>
  <c r="D48" i="2"/>
  <c r="O98" i="2" s="1"/>
  <c r="Z98" i="2" s="1"/>
  <c r="C48" i="2"/>
  <c r="N98" i="2" s="1"/>
  <c r="Y98" i="2" s="1"/>
  <c r="B48" i="2"/>
  <c r="M98" i="2" s="1"/>
  <c r="X98" i="2" s="1"/>
  <c r="T97" i="2"/>
  <c r="AE97" i="2" s="1"/>
  <c r="S97" i="2"/>
  <c r="AD97" i="2" s="1"/>
  <c r="R97" i="2"/>
  <c r="AC97" i="2" s="1"/>
  <c r="E47" i="2"/>
  <c r="P97" i="2" s="1"/>
  <c r="AA97" i="2" s="1"/>
  <c r="D47" i="2"/>
  <c r="O97" i="2" s="1"/>
  <c r="Z97" i="2" s="1"/>
  <c r="C47" i="2"/>
  <c r="N97" i="2" s="1"/>
  <c r="Y97" i="2" s="1"/>
  <c r="B47" i="2"/>
  <c r="H43" i="2"/>
  <c r="S92" i="2"/>
  <c r="AD92" i="2" s="1"/>
  <c r="E42" i="2"/>
  <c r="D42" i="2"/>
  <c r="O92" i="2" s="1"/>
  <c r="Z92" i="2" s="1"/>
  <c r="B42" i="2"/>
  <c r="T91" i="2"/>
  <c r="AE91" i="2" s="1"/>
  <c r="E41" i="2"/>
  <c r="D41" i="2"/>
  <c r="C41" i="2"/>
  <c r="B41" i="2"/>
  <c r="Q90" i="2"/>
  <c r="AB90" i="2" s="1"/>
  <c r="E40" i="2"/>
  <c r="D40" i="2"/>
  <c r="C40" i="2"/>
  <c r="B40" i="2"/>
  <c r="E39" i="2"/>
  <c r="D39" i="2"/>
  <c r="C39" i="2"/>
  <c r="N89" i="2" s="1"/>
  <c r="Y89" i="2" s="1"/>
  <c r="B39" i="2"/>
  <c r="T136" i="2"/>
  <c r="AE136" i="2" s="1"/>
  <c r="S136" i="2"/>
  <c r="AD136" i="2" s="1"/>
  <c r="R136" i="2"/>
  <c r="AC136" i="2" s="1"/>
  <c r="E36" i="2"/>
  <c r="P136" i="2" s="1"/>
  <c r="AA136" i="2" s="1"/>
  <c r="C36" i="2"/>
  <c r="N136" i="2" s="1"/>
  <c r="Y136" i="2" s="1"/>
  <c r="B36" i="2"/>
  <c r="G34" i="2"/>
  <c r="C34" i="2"/>
  <c r="D33" i="2"/>
  <c r="C33" i="2"/>
  <c r="B33" i="2"/>
  <c r="S82" i="2"/>
  <c r="AD82" i="2" s="1"/>
  <c r="E32" i="2"/>
  <c r="C32" i="2"/>
  <c r="B32" i="2"/>
  <c r="Q80" i="2"/>
  <c r="AB80" i="2" s="1"/>
  <c r="E30" i="2"/>
  <c r="D30" i="2"/>
  <c r="C30" i="2"/>
  <c r="D29" i="2"/>
  <c r="C29" i="2"/>
  <c r="B29" i="2"/>
  <c r="S78" i="2"/>
  <c r="AD78" i="2" s="1"/>
  <c r="E28" i="2"/>
  <c r="C28" i="2"/>
  <c r="B28" i="2"/>
  <c r="F31" i="2"/>
  <c r="E27" i="2"/>
  <c r="D27" i="2"/>
  <c r="B27" i="2"/>
  <c r="Q76" i="2"/>
  <c r="AB76" i="2" s="1"/>
  <c r="E26" i="2"/>
  <c r="D26" i="2"/>
  <c r="C26" i="2"/>
  <c r="D25" i="2"/>
  <c r="C25" i="2"/>
  <c r="B25" i="2"/>
  <c r="S74" i="2"/>
  <c r="AD74" i="2" s="1"/>
  <c r="E24" i="2"/>
  <c r="C24" i="2"/>
  <c r="B24" i="2"/>
  <c r="F23" i="2"/>
  <c r="B23" i="2"/>
  <c r="Q72" i="2"/>
  <c r="AB72" i="2" s="1"/>
  <c r="E22" i="2"/>
  <c r="D22" i="2"/>
  <c r="C22" i="2"/>
  <c r="D21" i="2"/>
  <c r="C21" i="2"/>
  <c r="B21" i="2"/>
  <c r="S70" i="2"/>
  <c r="AD70" i="2" s="1"/>
  <c r="E20" i="2"/>
  <c r="C20" i="2"/>
  <c r="C23" i="2" s="1"/>
  <c r="B20" i="2"/>
  <c r="F19" i="2"/>
  <c r="Q68" i="2"/>
  <c r="AB68" i="2" s="1"/>
  <c r="E18" i="2"/>
  <c r="D18" i="2"/>
  <c r="C18" i="2"/>
  <c r="D17" i="2"/>
  <c r="C17" i="2"/>
  <c r="B17" i="2"/>
  <c r="M67" i="2" s="1"/>
  <c r="X67" i="2" s="1"/>
  <c r="E16" i="2"/>
  <c r="C16" i="2"/>
  <c r="B16" i="2"/>
  <c r="S65" i="2"/>
  <c r="AD65" i="2" s="1"/>
  <c r="E15" i="2"/>
  <c r="D15" i="2"/>
  <c r="O65" i="2" s="1"/>
  <c r="Z65" i="2" s="1"/>
  <c r="B15" i="2"/>
  <c r="Q64" i="2"/>
  <c r="AB64" i="2" s="1"/>
  <c r="E14" i="2"/>
  <c r="D14" i="2"/>
  <c r="C14" i="2"/>
  <c r="D13" i="2"/>
  <c r="C13" i="2"/>
  <c r="B13" i="2"/>
  <c r="G19" i="2"/>
  <c r="E12" i="2"/>
  <c r="C12" i="2"/>
  <c r="B12" i="2"/>
  <c r="A8" i="2"/>
  <c r="A58" i="2" s="1"/>
  <c r="D52" i="6" l="1"/>
  <c r="E26" i="6"/>
  <c r="H26" i="6"/>
  <c r="Q81" i="2"/>
  <c r="AB81" i="2" s="1"/>
  <c r="R69" i="2"/>
  <c r="AC69" i="2" s="1"/>
  <c r="O63" i="2"/>
  <c r="Z63" i="2" s="1"/>
  <c r="M65" i="2"/>
  <c r="X65" i="2" s="1"/>
  <c r="O67" i="2"/>
  <c r="Z67" i="2" s="1"/>
  <c r="B19" i="2"/>
  <c r="N73" i="2"/>
  <c r="Y73" i="2" s="1"/>
  <c r="O121" i="2"/>
  <c r="Z121" i="2" s="1"/>
  <c r="O71" i="2"/>
  <c r="Z71" i="2" s="1"/>
  <c r="M73" i="2"/>
  <c r="X73" i="2" s="1"/>
  <c r="S83" i="2"/>
  <c r="AD83" i="2" s="1"/>
  <c r="N90" i="2"/>
  <c r="Y90" i="2" s="1"/>
  <c r="N101" i="2"/>
  <c r="Y101" i="2" s="1"/>
  <c r="J51" i="2"/>
  <c r="U101" i="2" s="1"/>
  <c r="AF101" i="2" s="1"/>
  <c r="J14" i="2"/>
  <c r="M64" i="2"/>
  <c r="X64" i="2" s="1"/>
  <c r="M118" i="2"/>
  <c r="X118" i="2" s="1"/>
  <c r="J18" i="2"/>
  <c r="M68" i="2"/>
  <c r="X68" i="2" s="1"/>
  <c r="J26" i="2"/>
  <c r="M76" i="2"/>
  <c r="X76" i="2" s="1"/>
  <c r="C19" i="2"/>
  <c r="T66" i="2"/>
  <c r="AE66" i="2" s="1"/>
  <c r="R68" i="2"/>
  <c r="AC68" i="2" s="1"/>
  <c r="E23" i="2"/>
  <c r="P70" i="2"/>
  <c r="AA70" i="2" s="1"/>
  <c r="N122" i="2"/>
  <c r="Y122" i="2" s="1"/>
  <c r="N72" i="2"/>
  <c r="Y72" i="2" s="1"/>
  <c r="Q73" i="2"/>
  <c r="AB73" i="2" s="1"/>
  <c r="T124" i="2"/>
  <c r="AE124" i="2" s="1"/>
  <c r="I31" i="2"/>
  <c r="T74" i="2"/>
  <c r="AE74" i="2" s="1"/>
  <c r="R76" i="2"/>
  <c r="AC76" i="2" s="1"/>
  <c r="O83" i="2"/>
  <c r="Z83" i="2" s="1"/>
  <c r="N92" i="2"/>
  <c r="Y92" i="2" s="1"/>
  <c r="E19" i="2"/>
  <c r="P62" i="2"/>
  <c r="AA62" i="2" s="1"/>
  <c r="P112" i="2"/>
  <c r="AA112" i="2" s="1"/>
  <c r="P66" i="2"/>
  <c r="AA66" i="2" s="1"/>
  <c r="J23" i="2"/>
  <c r="P78" i="2"/>
  <c r="AA78" i="2" s="1"/>
  <c r="T78" i="2"/>
  <c r="AE78" i="2" s="1"/>
  <c r="N80" i="2"/>
  <c r="Y80" i="2" s="1"/>
  <c r="R80" i="2"/>
  <c r="AC80" i="2" s="1"/>
  <c r="P82" i="2"/>
  <c r="AA82" i="2" s="1"/>
  <c r="E34" i="2"/>
  <c r="T132" i="2"/>
  <c r="AE132" i="2" s="1"/>
  <c r="T82" i="2"/>
  <c r="AE82" i="2" s="1"/>
  <c r="I34" i="2"/>
  <c r="N84" i="2"/>
  <c r="Y84" i="2" s="1"/>
  <c r="O89" i="2"/>
  <c r="Z89" i="2" s="1"/>
  <c r="P92" i="2"/>
  <c r="AA92" i="2" s="1"/>
  <c r="T92" i="2"/>
  <c r="AE92" i="2" s="1"/>
  <c r="S99" i="2"/>
  <c r="AD99" i="2" s="1"/>
  <c r="P63" i="2"/>
  <c r="AA63" i="2" s="1"/>
  <c r="O66" i="2"/>
  <c r="Z66" i="2" s="1"/>
  <c r="P67" i="2"/>
  <c r="AA67" i="2" s="1"/>
  <c r="D23" i="2"/>
  <c r="O70" i="2"/>
  <c r="Z70" i="2" s="1"/>
  <c r="P71" i="2"/>
  <c r="AA71" i="2" s="1"/>
  <c r="D31" i="2"/>
  <c r="O74" i="2"/>
  <c r="Z74" i="2" s="1"/>
  <c r="P75" i="2"/>
  <c r="AA75" i="2" s="1"/>
  <c r="O78" i="2"/>
  <c r="Z78" i="2" s="1"/>
  <c r="P79" i="2"/>
  <c r="AA79" i="2" s="1"/>
  <c r="O132" i="2"/>
  <c r="Z132" i="2" s="1"/>
  <c r="O82" i="2"/>
  <c r="Z82" i="2" s="1"/>
  <c r="D34" i="2"/>
  <c r="P83" i="2"/>
  <c r="AA83" i="2" s="1"/>
  <c r="O125" i="2"/>
  <c r="Z125" i="2" s="1"/>
  <c r="O75" i="2"/>
  <c r="Z75" i="2" s="1"/>
  <c r="M77" i="2"/>
  <c r="X77" i="2" s="1"/>
  <c r="S79" i="2"/>
  <c r="AD79" i="2" s="1"/>
  <c r="R90" i="2"/>
  <c r="AC90" i="2" s="1"/>
  <c r="R142" i="2"/>
  <c r="AC142" i="2" s="1"/>
  <c r="S93" i="2"/>
  <c r="AD93" i="2" s="1"/>
  <c r="D19" i="2"/>
  <c r="O62" i="2"/>
  <c r="Z62" i="2" s="1"/>
  <c r="N65" i="2"/>
  <c r="Y65" i="2" s="1"/>
  <c r="M122" i="2"/>
  <c r="X122" i="2" s="1"/>
  <c r="J22" i="2"/>
  <c r="M72" i="2"/>
  <c r="X72" i="2" s="1"/>
  <c r="N127" i="2"/>
  <c r="Y127" i="2" s="1"/>
  <c r="N77" i="2"/>
  <c r="Y77" i="2" s="1"/>
  <c r="J30" i="2"/>
  <c r="M80" i="2"/>
  <c r="X80" i="2" s="1"/>
  <c r="I19" i="2"/>
  <c r="T62" i="2"/>
  <c r="AE62" i="2" s="1"/>
  <c r="N64" i="2"/>
  <c r="Y64" i="2" s="1"/>
  <c r="R64" i="2"/>
  <c r="AC64" i="2" s="1"/>
  <c r="Q117" i="2"/>
  <c r="AB117" i="2" s="1"/>
  <c r="N68" i="2"/>
  <c r="Y68" i="2" s="1"/>
  <c r="Q69" i="2"/>
  <c r="AB69" i="2" s="1"/>
  <c r="I23" i="2"/>
  <c r="T70" i="2"/>
  <c r="AE70" i="2" s="1"/>
  <c r="R122" i="2"/>
  <c r="AC122" i="2" s="1"/>
  <c r="R72" i="2"/>
  <c r="AC72" i="2" s="1"/>
  <c r="E31" i="2"/>
  <c r="P74" i="2"/>
  <c r="AA74" i="2" s="1"/>
  <c r="N76" i="2"/>
  <c r="Y76" i="2" s="1"/>
  <c r="O129" i="2"/>
  <c r="Z129" i="2" s="1"/>
  <c r="O79" i="2"/>
  <c r="Z79" i="2" s="1"/>
  <c r="B31" i="2"/>
  <c r="S89" i="2"/>
  <c r="AD89" i="2" s="1"/>
  <c r="N100" i="2"/>
  <c r="Y100" i="2" s="1"/>
  <c r="J50" i="2"/>
  <c r="U100" i="2" s="1"/>
  <c r="AF100" i="2" s="1"/>
  <c r="S63" i="2"/>
  <c r="AD63" i="2" s="1"/>
  <c r="Q115" i="2"/>
  <c r="AB115" i="2" s="1"/>
  <c r="Q65" i="2"/>
  <c r="AB65" i="2" s="1"/>
  <c r="J15" i="2"/>
  <c r="S67" i="2"/>
  <c r="AD67" i="2" s="1"/>
  <c r="G23" i="2"/>
  <c r="H23" i="2"/>
  <c r="S71" i="2"/>
  <c r="AD71" i="2" s="1"/>
  <c r="G31" i="2"/>
  <c r="S125" i="2"/>
  <c r="AD125" i="2" s="1"/>
  <c r="H31" i="2"/>
  <c r="S75" i="2"/>
  <c r="AD75" i="2" s="1"/>
  <c r="Q127" i="2"/>
  <c r="AB127" i="2" s="1"/>
  <c r="Q77" i="2"/>
  <c r="AB77" i="2" s="1"/>
  <c r="J27" i="2"/>
  <c r="R84" i="2"/>
  <c r="AC84" i="2" s="1"/>
  <c r="G35" i="2"/>
  <c r="M91" i="2"/>
  <c r="X91" i="2" s="1"/>
  <c r="Q91" i="2"/>
  <c r="AB91" i="2" s="1"/>
  <c r="J41" i="2"/>
  <c r="D43" i="2"/>
  <c r="M97" i="2"/>
  <c r="X97" i="2" s="1"/>
  <c r="B52" i="2"/>
  <c r="M102" i="2" s="1"/>
  <c r="X102" i="2" s="1"/>
  <c r="Q97" i="2"/>
  <c r="AB97" i="2" s="1"/>
  <c r="F52" i="2"/>
  <c r="Q102" i="2" s="1"/>
  <c r="AB102" i="2" s="1"/>
  <c r="J47" i="2"/>
  <c r="P98" i="2"/>
  <c r="AA98" i="2" s="1"/>
  <c r="E52" i="2"/>
  <c r="P102" i="2" s="1"/>
  <c r="AA102" i="2" s="1"/>
  <c r="T98" i="2"/>
  <c r="AE98" i="2" s="1"/>
  <c r="I52" i="2"/>
  <c r="T102" i="2" s="1"/>
  <c r="AE102" i="2" s="1"/>
  <c r="M112" i="2"/>
  <c r="X112" i="2" s="1"/>
  <c r="Q112" i="2"/>
  <c r="AB112" i="2" s="1"/>
  <c r="J12" i="2"/>
  <c r="S114" i="2"/>
  <c r="AD114" i="2" s="1"/>
  <c r="M116" i="2"/>
  <c r="X116" i="2" s="1"/>
  <c r="Q116" i="2"/>
  <c r="AB116" i="2" s="1"/>
  <c r="J16" i="2"/>
  <c r="M120" i="2"/>
  <c r="X120" i="2" s="1"/>
  <c r="Q120" i="2"/>
  <c r="AB120" i="2" s="1"/>
  <c r="J20" i="2"/>
  <c r="S122" i="2"/>
  <c r="AD122" i="2" s="1"/>
  <c r="J24" i="2"/>
  <c r="M128" i="2"/>
  <c r="X128" i="2" s="1"/>
  <c r="J28" i="2"/>
  <c r="O130" i="2"/>
  <c r="Z130" i="2" s="1"/>
  <c r="C31" i="2"/>
  <c r="Q132" i="2"/>
  <c r="AB132" i="2" s="1"/>
  <c r="J32" i="2"/>
  <c r="H34" i="2"/>
  <c r="M136" i="2"/>
  <c r="X136" i="2" s="1"/>
  <c r="Q136" i="2"/>
  <c r="AB136" i="2" s="1"/>
  <c r="R141" i="2"/>
  <c r="AC141" i="2" s="1"/>
  <c r="M142" i="2"/>
  <c r="X142" i="2" s="1"/>
  <c r="Q92" i="2"/>
  <c r="AB92" i="2" s="1"/>
  <c r="J42" i="2"/>
  <c r="E43" i="2"/>
  <c r="I43" i="2"/>
  <c r="J48" i="2"/>
  <c r="U98" i="2" s="1"/>
  <c r="AF98" i="2" s="1"/>
  <c r="D52" i="2"/>
  <c r="H52" i="2"/>
  <c r="T63" i="2"/>
  <c r="AE63" i="2" s="1"/>
  <c r="R65" i="2"/>
  <c r="AC65" i="2" s="1"/>
  <c r="T67" i="2"/>
  <c r="AE67" i="2" s="1"/>
  <c r="T71" i="2"/>
  <c r="AE71" i="2" s="1"/>
  <c r="T75" i="2"/>
  <c r="AE75" i="2" s="1"/>
  <c r="R77" i="2"/>
  <c r="AC77" i="2" s="1"/>
  <c r="T79" i="2"/>
  <c r="AE79" i="2" s="1"/>
  <c r="T83" i="2"/>
  <c r="AE83" i="2" s="1"/>
  <c r="Z86" i="2"/>
  <c r="T89" i="2"/>
  <c r="AE89" i="2" s="1"/>
  <c r="O90" i="2"/>
  <c r="Z90" i="2" s="1"/>
  <c r="E104" i="2"/>
  <c r="I104" i="2"/>
  <c r="S115" i="2"/>
  <c r="AD115" i="2" s="1"/>
  <c r="O140" i="2"/>
  <c r="Z140" i="2" s="1"/>
  <c r="J13" i="2"/>
  <c r="T114" i="2"/>
  <c r="AE114" i="2" s="1"/>
  <c r="J17" i="2"/>
  <c r="J21" i="2"/>
  <c r="Q125" i="2"/>
  <c r="AB125" i="2" s="1"/>
  <c r="J25" i="2"/>
  <c r="S127" i="2"/>
  <c r="AD127" i="2" s="1"/>
  <c r="Q129" i="2"/>
  <c r="AB129" i="2" s="1"/>
  <c r="J29" i="2"/>
  <c r="R132" i="2"/>
  <c r="AC132" i="2" s="1"/>
  <c r="M133" i="2"/>
  <c r="X133" i="2" s="1"/>
  <c r="J33" i="2"/>
  <c r="M89" i="2"/>
  <c r="X89" i="2" s="1"/>
  <c r="J39" i="2"/>
  <c r="P90" i="2"/>
  <c r="AA90" i="2" s="1"/>
  <c r="T140" i="2"/>
  <c r="AE140" i="2" s="1"/>
  <c r="T90" i="2"/>
  <c r="AE90" i="2" s="1"/>
  <c r="O91" i="2"/>
  <c r="Z91" i="2" s="1"/>
  <c r="S141" i="2"/>
  <c r="AD141" i="2" s="1"/>
  <c r="S91" i="2"/>
  <c r="AD91" i="2" s="1"/>
  <c r="R92" i="2"/>
  <c r="AC92" i="2" s="1"/>
  <c r="B43" i="2"/>
  <c r="J49" i="2"/>
  <c r="U99" i="2" s="1"/>
  <c r="AF99" i="2" s="1"/>
  <c r="M63" i="2"/>
  <c r="X63" i="2" s="1"/>
  <c r="Q63" i="2"/>
  <c r="AB63" i="2" s="1"/>
  <c r="Q67" i="2"/>
  <c r="AB67" i="2" s="1"/>
  <c r="M71" i="2"/>
  <c r="X71" i="2" s="1"/>
  <c r="Q71" i="2"/>
  <c r="AB71" i="2" s="1"/>
  <c r="M75" i="2"/>
  <c r="X75" i="2" s="1"/>
  <c r="Q75" i="2"/>
  <c r="AB75" i="2" s="1"/>
  <c r="O77" i="2"/>
  <c r="Z77" i="2" s="1"/>
  <c r="S77" i="2"/>
  <c r="AD77" i="2" s="1"/>
  <c r="M79" i="2"/>
  <c r="X79" i="2" s="1"/>
  <c r="Q79" i="2"/>
  <c r="AB79" i="2" s="1"/>
  <c r="M83" i="2"/>
  <c r="X83" i="2" s="1"/>
  <c r="Q83" i="2"/>
  <c r="AB83" i="2" s="1"/>
  <c r="N91" i="2"/>
  <c r="Y91" i="2" s="1"/>
  <c r="D102" i="2"/>
  <c r="D104" i="2" s="1"/>
  <c r="H102" i="2"/>
  <c r="H104" i="2" s="1"/>
  <c r="O118" i="2"/>
  <c r="Z118" i="2" s="1"/>
  <c r="O124" i="2"/>
  <c r="Z124" i="2" s="1"/>
  <c r="T125" i="2"/>
  <c r="AE125" i="2" s="1"/>
  <c r="M130" i="2"/>
  <c r="X130" i="2" s="1"/>
  <c r="AB82" i="3"/>
  <c r="P82" i="3"/>
  <c r="AB53" i="3"/>
  <c r="P53" i="3"/>
  <c r="AF82" i="3"/>
  <c r="T82" i="3"/>
  <c r="AF53" i="3"/>
  <c r="T53" i="3"/>
  <c r="N116" i="2"/>
  <c r="Y116" i="2" s="1"/>
  <c r="T142" i="2"/>
  <c r="AE142" i="2" s="1"/>
  <c r="P142" i="2"/>
  <c r="AA142" i="2" s="1"/>
  <c r="O141" i="2"/>
  <c r="Z141" i="2" s="1"/>
  <c r="R140" i="2"/>
  <c r="AC140" i="2" s="1"/>
  <c r="N140" i="2"/>
  <c r="Y140" i="2" s="1"/>
  <c r="M139" i="2"/>
  <c r="X139" i="2" s="1"/>
  <c r="R134" i="2"/>
  <c r="AC134" i="2" s="1"/>
  <c r="N134" i="2"/>
  <c r="Y134" i="2" s="1"/>
  <c r="Q133" i="2"/>
  <c r="AB133" i="2" s="1"/>
  <c r="P132" i="2"/>
  <c r="AA132" i="2" s="1"/>
  <c r="M129" i="2"/>
  <c r="X129" i="2" s="1"/>
  <c r="T128" i="2"/>
  <c r="AE128" i="2" s="1"/>
  <c r="P128" i="2"/>
  <c r="AA128" i="2" s="1"/>
  <c r="O127" i="2"/>
  <c r="Z127" i="2" s="1"/>
  <c r="R126" i="2"/>
  <c r="AC126" i="2" s="1"/>
  <c r="N126" i="2"/>
  <c r="Y126" i="2" s="1"/>
  <c r="M125" i="2"/>
  <c r="X125" i="2" s="1"/>
  <c r="P124" i="2"/>
  <c r="AA124" i="2" s="1"/>
  <c r="S142" i="2"/>
  <c r="AD142" i="2" s="1"/>
  <c r="N141" i="2"/>
  <c r="Y141" i="2" s="1"/>
  <c r="T139" i="2"/>
  <c r="AE139" i="2" s="1"/>
  <c r="P139" i="2"/>
  <c r="AA139" i="2" s="1"/>
  <c r="T133" i="2"/>
  <c r="AE133" i="2" s="1"/>
  <c r="P133" i="2"/>
  <c r="AA133" i="2" s="1"/>
  <c r="N142" i="2"/>
  <c r="Y142" i="2" s="1"/>
  <c r="Q141" i="2"/>
  <c r="AB141" i="2" s="1"/>
  <c r="M141" i="2"/>
  <c r="X141" i="2" s="1"/>
  <c r="P140" i="2"/>
  <c r="AA140" i="2" s="1"/>
  <c r="S139" i="2"/>
  <c r="AD139" i="2" s="1"/>
  <c r="O139" i="2"/>
  <c r="Z139" i="2" s="1"/>
  <c r="F137" i="2"/>
  <c r="S133" i="2"/>
  <c r="AD133" i="2" s="1"/>
  <c r="O133" i="2"/>
  <c r="Z133" i="2" s="1"/>
  <c r="N132" i="2"/>
  <c r="Y132" i="2" s="1"/>
  <c r="Q131" i="2"/>
  <c r="AB131" i="2" s="1"/>
  <c r="P130" i="2"/>
  <c r="AA130" i="2" s="1"/>
  <c r="S129" i="2"/>
  <c r="AD129" i="2" s="1"/>
  <c r="R128" i="2"/>
  <c r="AC128" i="2" s="1"/>
  <c r="N128" i="2"/>
  <c r="Y128" i="2" s="1"/>
  <c r="M127" i="2"/>
  <c r="X127" i="2" s="1"/>
  <c r="T126" i="2"/>
  <c r="AE126" i="2" s="1"/>
  <c r="P126" i="2"/>
  <c r="AA126" i="2" s="1"/>
  <c r="R124" i="2"/>
  <c r="AC124" i="2" s="1"/>
  <c r="N124" i="2"/>
  <c r="Y124" i="2" s="1"/>
  <c r="Q123" i="2"/>
  <c r="AB123" i="2" s="1"/>
  <c r="M123" i="2"/>
  <c r="X123" i="2" s="1"/>
  <c r="T122" i="2"/>
  <c r="AE122" i="2" s="1"/>
  <c r="P122" i="2"/>
  <c r="AA122" i="2" s="1"/>
  <c r="S121" i="2"/>
  <c r="AD121" i="2" s="1"/>
  <c r="P141" i="2"/>
  <c r="AA141" i="2" s="1"/>
  <c r="M132" i="2"/>
  <c r="X132" i="2" s="1"/>
  <c r="S130" i="2"/>
  <c r="AD130" i="2" s="1"/>
  <c r="Q128" i="2"/>
  <c r="AB128" i="2" s="1"/>
  <c r="O126" i="2"/>
  <c r="Z126" i="2" s="1"/>
  <c r="R125" i="2"/>
  <c r="AC125" i="2" s="1"/>
  <c r="M124" i="2"/>
  <c r="X124" i="2" s="1"/>
  <c r="Q121" i="2"/>
  <c r="AB121" i="2" s="1"/>
  <c r="M121" i="2"/>
  <c r="X121" i="2" s="1"/>
  <c r="T120" i="2"/>
  <c r="AE120" i="2" s="1"/>
  <c r="P120" i="2"/>
  <c r="AA120" i="2" s="1"/>
  <c r="R118" i="2"/>
  <c r="AC118" i="2" s="1"/>
  <c r="N118" i="2"/>
  <c r="Y118" i="2" s="1"/>
  <c r="M117" i="2"/>
  <c r="X117" i="2" s="1"/>
  <c r="T116" i="2"/>
  <c r="AE116" i="2" s="1"/>
  <c r="P116" i="2"/>
  <c r="AA116" i="2" s="1"/>
  <c r="O115" i="2"/>
  <c r="Z115" i="2" s="1"/>
  <c r="R114" i="2"/>
  <c r="AC114" i="2" s="1"/>
  <c r="N114" i="2"/>
  <c r="Y114" i="2" s="1"/>
  <c r="Q113" i="2"/>
  <c r="AB113" i="2" s="1"/>
  <c r="M113" i="2"/>
  <c r="X113" i="2" s="1"/>
  <c r="T112" i="2"/>
  <c r="AE112" i="2" s="1"/>
  <c r="A108" i="2"/>
  <c r="Q142" i="2"/>
  <c r="AB142" i="2" s="1"/>
  <c r="S132" i="2"/>
  <c r="AD132" i="2" s="1"/>
  <c r="O128" i="2"/>
  <c r="Z128" i="2" s="1"/>
  <c r="R127" i="2"/>
  <c r="AC127" i="2" s="1"/>
  <c r="M126" i="2"/>
  <c r="X126" i="2" s="1"/>
  <c r="P125" i="2"/>
  <c r="AA125" i="2" s="1"/>
  <c r="S124" i="2"/>
  <c r="AD124" i="2" s="1"/>
  <c r="N123" i="2"/>
  <c r="Y123" i="2" s="1"/>
  <c r="P121" i="2"/>
  <c r="AA121" i="2" s="1"/>
  <c r="O120" i="2"/>
  <c r="Z120" i="2" s="1"/>
  <c r="R119" i="2"/>
  <c r="AC119" i="2" s="1"/>
  <c r="T117" i="2"/>
  <c r="AE117" i="2" s="1"/>
  <c r="P117" i="2"/>
  <c r="AA117" i="2" s="1"/>
  <c r="O116" i="2"/>
  <c r="Z116" i="2" s="1"/>
  <c r="R115" i="2"/>
  <c r="AC115" i="2" s="1"/>
  <c r="N115" i="2"/>
  <c r="Y115" i="2" s="1"/>
  <c r="Q114" i="2"/>
  <c r="AB114" i="2" s="1"/>
  <c r="M114" i="2"/>
  <c r="X114" i="2" s="1"/>
  <c r="T113" i="2"/>
  <c r="AE113" i="2" s="1"/>
  <c r="P113" i="2"/>
  <c r="AA113" i="2" s="1"/>
  <c r="O112" i="2"/>
  <c r="Z112" i="2" s="1"/>
  <c r="S140" i="2"/>
  <c r="AD140" i="2" s="1"/>
  <c r="N139" i="2"/>
  <c r="Y139" i="2" s="1"/>
  <c r="R133" i="2"/>
  <c r="AC133" i="2" s="1"/>
  <c r="R129" i="2"/>
  <c r="AC129" i="2" s="1"/>
  <c r="S126" i="2"/>
  <c r="AD126" i="2" s="1"/>
  <c r="Q124" i="2"/>
  <c r="AB124" i="2" s="1"/>
  <c r="O122" i="2"/>
  <c r="Z122" i="2" s="1"/>
  <c r="T121" i="2"/>
  <c r="AE121" i="2" s="1"/>
  <c r="R120" i="2"/>
  <c r="AC120" i="2" s="1"/>
  <c r="N120" i="2"/>
  <c r="Y120" i="2" s="1"/>
  <c r="Q119" i="2"/>
  <c r="AB119" i="2" s="1"/>
  <c r="T118" i="2"/>
  <c r="AE118" i="2" s="1"/>
  <c r="P118" i="2"/>
  <c r="AA118" i="2" s="1"/>
  <c r="S117" i="2"/>
  <c r="AD117" i="2" s="1"/>
  <c r="O117" i="2"/>
  <c r="Z117" i="2" s="1"/>
  <c r="R116" i="2"/>
  <c r="AC116" i="2" s="1"/>
  <c r="M115" i="2"/>
  <c r="X115" i="2" s="1"/>
  <c r="P114" i="2"/>
  <c r="AA114" i="2" s="1"/>
  <c r="O113" i="2"/>
  <c r="Z113" i="2" s="1"/>
  <c r="R112" i="2"/>
  <c r="AC112" i="2" s="1"/>
  <c r="N112" i="2"/>
  <c r="Y112" i="2" s="1"/>
  <c r="N113" i="2"/>
  <c r="Y113" i="2" s="1"/>
  <c r="R113" i="2"/>
  <c r="AC113" i="2" s="1"/>
  <c r="P115" i="2"/>
  <c r="AA115" i="2" s="1"/>
  <c r="T115" i="2"/>
  <c r="AE115" i="2" s="1"/>
  <c r="N117" i="2"/>
  <c r="Y117" i="2" s="1"/>
  <c r="R117" i="2"/>
  <c r="AC117" i="2" s="1"/>
  <c r="Q118" i="2"/>
  <c r="AB118" i="2" s="1"/>
  <c r="S120" i="2"/>
  <c r="AD120" i="2" s="1"/>
  <c r="N121" i="2"/>
  <c r="Y121" i="2" s="1"/>
  <c r="Q122" i="2"/>
  <c r="AB122" i="2" s="1"/>
  <c r="N125" i="2"/>
  <c r="Y125" i="2" s="1"/>
  <c r="Q126" i="2"/>
  <c r="AB126" i="2" s="1"/>
  <c r="P127" i="2"/>
  <c r="AA127" i="2" s="1"/>
  <c r="T127" i="2"/>
  <c r="AE127" i="2" s="1"/>
  <c r="S128" i="2"/>
  <c r="AD128" i="2" s="1"/>
  <c r="Q130" i="2"/>
  <c r="AB130" i="2" s="1"/>
  <c r="B34" i="2"/>
  <c r="F34" i="2"/>
  <c r="R139" i="2"/>
  <c r="AC139" i="2" s="1"/>
  <c r="M140" i="2"/>
  <c r="X140" i="2" s="1"/>
  <c r="Q140" i="2"/>
  <c r="AB140" i="2" s="1"/>
  <c r="J40" i="2"/>
  <c r="O142" i="2"/>
  <c r="Z142" i="2" s="1"/>
  <c r="C43" i="2"/>
  <c r="G43" i="2"/>
  <c r="M62" i="2"/>
  <c r="X62" i="2" s="1"/>
  <c r="Q62" i="2"/>
  <c r="AB62" i="2" s="1"/>
  <c r="N63" i="2"/>
  <c r="Y63" i="2" s="1"/>
  <c r="R63" i="2"/>
  <c r="AC63" i="2" s="1"/>
  <c r="O64" i="2"/>
  <c r="Z64" i="2" s="1"/>
  <c r="S64" i="2"/>
  <c r="AD64" i="2" s="1"/>
  <c r="P65" i="2"/>
  <c r="AA65" i="2" s="1"/>
  <c r="T65" i="2"/>
  <c r="AE65" i="2" s="1"/>
  <c r="M66" i="2"/>
  <c r="X66" i="2" s="1"/>
  <c r="Q66" i="2"/>
  <c r="AB66" i="2" s="1"/>
  <c r="N67" i="2"/>
  <c r="Y67" i="2" s="1"/>
  <c r="R67" i="2"/>
  <c r="AC67" i="2" s="1"/>
  <c r="O68" i="2"/>
  <c r="Z68" i="2" s="1"/>
  <c r="S68" i="2"/>
  <c r="AD68" i="2" s="1"/>
  <c r="M70" i="2"/>
  <c r="X70" i="2" s="1"/>
  <c r="Q70" i="2"/>
  <c r="AB70" i="2" s="1"/>
  <c r="N71" i="2"/>
  <c r="Y71" i="2" s="1"/>
  <c r="R71" i="2"/>
  <c r="AC71" i="2" s="1"/>
  <c r="O72" i="2"/>
  <c r="Z72" i="2" s="1"/>
  <c r="S72" i="2"/>
  <c r="AD72" i="2" s="1"/>
  <c r="M74" i="2"/>
  <c r="X74" i="2" s="1"/>
  <c r="Q74" i="2"/>
  <c r="AB74" i="2" s="1"/>
  <c r="N75" i="2"/>
  <c r="Y75" i="2" s="1"/>
  <c r="R75" i="2"/>
  <c r="AC75" i="2" s="1"/>
  <c r="O76" i="2"/>
  <c r="Z76" i="2" s="1"/>
  <c r="S76" i="2"/>
  <c r="AD76" i="2" s="1"/>
  <c r="P77" i="2"/>
  <c r="AA77" i="2" s="1"/>
  <c r="T77" i="2"/>
  <c r="AE77" i="2" s="1"/>
  <c r="M78" i="2"/>
  <c r="X78" i="2" s="1"/>
  <c r="Q78" i="2"/>
  <c r="AB78" i="2" s="1"/>
  <c r="N79" i="2"/>
  <c r="Y79" i="2" s="1"/>
  <c r="R79" i="2"/>
  <c r="AC79" i="2" s="1"/>
  <c r="O80" i="2"/>
  <c r="Z80" i="2" s="1"/>
  <c r="S80" i="2"/>
  <c r="AD80" i="2" s="1"/>
  <c r="M82" i="2"/>
  <c r="X82" i="2" s="1"/>
  <c r="Q82" i="2"/>
  <c r="AB82" i="2" s="1"/>
  <c r="N83" i="2"/>
  <c r="Y83" i="2" s="1"/>
  <c r="R83" i="2"/>
  <c r="AC83" i="2" s="1"/>
  <c r="P89" i="2"/>
  <c r="AA89" i="2" s="1"/>
  <c r="S90" i="2"/>
  <c r="AD90" i="2" s="1"/>
  <c r="P91" i="2"/>
  <c r="AA91" i="2" s="1"/>
  <c r="C104" i="2"/>
  <c r="G104" i="2"/>
  <c r="O114" i="2"/>
  <c r="Z114" i="2" s="1"/>
  <c r="S118" i="2"/>
  <c r="AD118" i="2" s="1"/>
  <c r="R121" i="2"/>
  <c r="AC121" i="2" s="1"/>
  <c r="N133" i="2"/>
  <c r="Y133" i="2" s="1"/>
  <c r="T141" i="2"/>
  <c r="AE141" i="2" s="1"/>
  <c r="D216" i="2"/>
  <c r="H201" i="2"/>
  <c r="AC77" i="3"/>
  <c r="Q77" i="3"/>
  <c r="Q48" i="3"/>
  <c r="AC48" i="3"/>
  <c r="AG77" i="3"/>
  <c r="U77" i="3"/>
  <c r="U48" i="3"/>
  <c r="AG48" i="3"/>
  <c r="F233" i="2"/>
  <c r="B216" i="2"/>
  <c r="C226" i="2"/>
  <c r="C228" i="2" s="1"/>
  <c r="C232" i="2" s="1"/>
  <c r="C233" i="2" s="1"/>
  <c r="C227" i="2"/>
  <c r="J227" i="2" s="1"/>
  <c r="G226" i="2"/>
  <c r="G228" i="2" s="1"/>
  <c r="G232" i="2" s="1"/>
  <c r="B201" i="2"/>
  <c r="G227" i="2"/>
  <c r="R130" i="2" s="1"/>
  <c r="AC130" i="2" s="1"/>
  <c r="AA89" i="3"/>
  <c r="O89" i="3"/>
  <c r="O60" i="3"/>
  <c r="AA60" i="3"/>
  <c r="AE89" i="3"/>
  <c r="S89" i="3"/>
  <c r="S60" i="3"/>
  <c r="AE60" i="3"/>
  <c r="K31" i="3"/>
  <c r="AD90" i="3"/>
  <c r="R90" i="3"/>
  <c r="AD61" i="3"/>
  <c r="R61" i="3"/>
  <c r="AH90" i="3"/>
  <c r="AH61" i="3"/>
  <c r="V61" i="3"/>
  <c r="V90" i="3"/>
  <c r="G216" i="2"/>
  <c r="J217" i="2"/>
  <c r="J220" i="2" s="1"/>
  <c r="D201" i="2"/>
  <c r="H210" i="2"/>
  <c r="H216" i="2" s="1"/>
  <c r="H233" i="2" s="1"/>
  <c r="K15" i="3"/>
  <c r="AD76" i="3"/>
  <c r="AD47" i="3"/>
  <c r="R47" i="3"/>
  <c r="AH76" i="3"/>
  <c r="V76" i="3"/>
  <c r="AH47" i="3"/>
  <c r="V47" i="3"/>
  <c r="AC81" i="3"/>
  <c r="Q81" i="3"/>
  <c r="Q52" i="3"/>
  <c r="AG81" i="3"/>
  <c r="U81" i="3"/>
  <c r="U52" i="3"/>
  <c r="AB88" i="3"/>
  <c r="AB59" i="3"/>
  <c r="P88" i="3"/>
  <c r="P59" i="3"/>
  <c r="AF88" i="3"/>
  <c r="T88" i="3"/>
  <c r="AF59" i="3"/>
  <c r="T59" i="3"/>
  <c r="AA44" i="3"/>
  <c r="K49" i="3"/>
  <c r="K61" i="3"/>
  <c r="J40" i="5"/>
  <c r="M49" i="5"/>
  <c r="X49" i="5" s="1"/>
  <c r="B41" i="5"/>
  <c r="E201" i="2"/>
  <c r="I201" i="2"/>
  <c r="J213" i="2"/>
  <c r="E227" i="2"/>
  <c r="E226" i="2"/>
  <c r="E228" i="2" s="1"/>
  <c r="E232" i="2" s="1"/>
  <c r="E233" i="2" s="1"/>
  <c r="I227" i="2"/>
  <c r="T130" i="2" s="1"/>
  <c r="AE130" i="2" s="1"/>
  <c r="I226" i="2"/>
  <c r="I228" i="2" s="1"/>
  <c r="I232" i="2" s="1"/>
  <c r="I233" i="2" s="1"/>
  <c r="P72" i="3"/>
  <c r="AB43" i="3"/>
  <c r="AB72" i="3"/>
  <c r="P43" i="3"/>
  <c r="T72" i="3"/>
  <c r="AF72" i="3"/>
  <c r="AF43" i="3"/>
  <c r="T43" i="3"/>
  <c r="AA79" i="3"/>
  <c r="O79" i="3"/>
  <c r="O50" i="3"/>
  <c r="AE79" i="3"/>
  <c r="S79" i="3"/>
  <c r="S50" i="3"/>
  <c r="K21" i="3"/>
  <c r="AD80" i="3"/>
  <c r="AD51" i="3"/>
  <c r="R80" i="3"/>
  <c r="R51" i="3"/>
  <c r="AH80" i="3"/>
  <c r="V80" i="3"/>
  <c r="AH51" i="3"/>
  <c r="V51" i="3"/>
  <c r="AC87" i="3"/>
  <c r="Q87" i="3"/>
  <c r="Q58" i="3"/>
  <c r="AG87" i="3"/>
  <c r="U87" i="3"/>
  <c r="U58" i="3"/>
  <c r="P63" i="3"/>
  <c r="AB92" i="3"/>
  <c r="AB63" i="3"/>
  <c r="T63" i="3"/>
  <c r="AF92" i="3"/>
  <c r="T92" i="3"/>
  <c r="AE44" i="3"/>
  <c r="K50" i="3"/>
  <c r="AC52" i="3"/>
  <c r="AG58" i="3"/>
  <c r="K71" i="3"/>
  <c r="I216" i="2"/>
  <c r="D233" i="2"/>
  <c r="B233" i="2"/>
  <c r="Q71" i="3"/>
  <c r="Q42" i="3"/>
  <c r="U71" i="3"/>
  <c r="U42" i="3"/>
  <c r="AG71" i="3"/>
  <c r="AB78" i="3"/>
  <c r="P78" i="3"/>
  <c r="AB49" i="3"/>
  <c r="P49" i="3"/>
  <c r="AF78" i="3"/>
  <c r="AF49" i="3"/>
  <c r="T49" i="3"/>
  <c r="AA83" i="3"/>
  <c r="O83" i="3"/>
  <c r="O54" i="3"/>
  <c r="AE83" i="3"/>
  <c r="S83" i="3"/>
  <c r="S54" i="3"/>
  <c r="K25" i="3"/>
  <c r="AD86" i="3"/>
  <c r="AD57" i="3"/>
  <c r="R57" i="3"/>
  <c r="AH86" i="3"/>
  <c r="AH57" i="3"/>
  <c r="V86" i="3"/>
  <c r="V57" i="3"/>
  <c r="AC91" i="3"/>
  <c r="Q91" i="3"/>
  <c r="Q62" i="3"/>
  <c r="AC62" i="3"/>
  <c r="AG91" i="3"/>
  <c r="U91" i="3"/>
  <c r="U62" i="3"/>
  <c r="AG62" i="3"/>
  <c r="K44" i="3"/>
  <c r="K51" i="3"/>
  <c r="AG52" i="3"/>
  <c r="AA54" i="3"/>
  <c r="K59" i="3"/>
  <c r="AC71" i="3"/>
  <c r="K76" i="3"/>
  <c r="R76" i="3"/>
  <c r="AE76" i="3"/>
  <c r="S76" i="3"/>
  <c r="K18" i="3"/>
  <c r="AC78" i="3"/>
  <c r="Q78" i="3"/>
  <c r="AG78" i="3"/>
  <c r="U78" i="3"/>
  <c r="AA80" i="3"/>
  <c r="O80" i="3"/>
  <c r="AE80" i="3"/>
  <c r="S80" i="3"/>
  <c r="K22" i="3"/>
  <c r="AC82" i="3"/>
  <c r="Q82" i="3"/>
  <c r="AG82" i="3"/>
  <c r="U82" i="3"/>
  <c r="AA86" i="3"/>
  <c r="O86" i="3"/>
  <c r="AE86" i="3"/>
  <c r="S86" i="3"/>
  <c r="K28" i="3"/>
  <c r="AC88" i="3"/>
  <c r="Q88" i="3"/>
  <c r="AG88" i="3"/>
  <c r="U88" i="3"/>
  <c r="AA90" i="3"/>
  <c r="O90" i="3"/>
  <c r="AE90" i="3"/>
  <c r="S90" i="3"/>
  <c r="K32" i="3"/>
  <c r="R91" i="3"/>
  <c r="AD62" i="3"/>
  <c r="V91" i="3"/>
  <c r="AH62" i="3"/>
  <c r="AC92" i="3"/>
  <c r="Q92" i="3"/>
  <c r="AC63" i="3"/>
  <c r="AG92" i="3"/>
  <c r="U92" i="3"/>
  <c r="AG63" i="3"/>
  <c r="O42" i="3"/>
  <c r="S42" i="3"/>
  <c r="AD42" i="3"/>
  <c r="AH42" i="3"/>
  <c r="AA43" i="3"/>
  <c r="AE43" i="3"/>
  <c r="Q44" i="3"/>
  <c r="U44" i="3"/>
  <c r="AG47" i="3"/>
  <c r="O48" i="3"/>
  <c r="S48" i="3"/>
  <c r="AD48" i="3"/>
  <c r="AH48" i="3"/>
  <c r="AA49" i="3"/>
  <c r="AE49" i="3"/>
  <c r="Q50" i="3"/>
  <c r="U50" i="3"/>
  <c r="AB50" i="3"/>
  <c r="AF50" i="3"/>
  <c r="AC51" i="3"/>
  <c r="AG51" i="3"/>
  <c r="O52" i="3"/>
  <c r="S52" i="3"/>
  <c r="AD52" i="3"/>
  <c r="AH52" i="3"/>
  <c r="AA53" i="3"/>
  <c r="AE53" i="3"/>
  <c r="Q54" i="3"/>
  <c r="U54" i="3"/>
  <c r="AB54" i="3"/>
  <c r="AF54" i="3"/>
  <c r="AC57" i="3"/>
  <c r="AG57" i="3"/>
  <c r="O58" i="3"/>
  <c r="S58" i="3"/>
  <c r="AD58" i="3"/>
  <c r="AH58" i="3"/>
  <c r="AA59" i="3"/>
  <c r="AE59" i="3"/>
  <c r="Q60" i="3"/>
  <c r="U60" i="3"/>
  <c r="AB60" i="3"/>
  <c r="AF60" i="3"/>
  <c r="AC61" i="3"/>
  <c r="AG61" i="3"/>
  <c r="R62" i="3"/>
  <c r="K63" i="3"/>
  <c r="O63" i="3"/>
  <c r="T71" i="3"/>
  <c r="AE71" i="3"/>
  <c r="Q72" i="3"/>
  <c r="T76" i="3"/>
  <c r="AD77" i="3"/>
  <c r="AA78" i="3"/>
  <c r="U79" i="3"/>
  <c r="K81" i="3"/>
  <c r="O81" i="3"/>
  <c r="AH81" i="3"/>
  <c r="AE82" i="3"/>
  <c r="AB83" i="3"/>
  <c r="S87" i="3"/>
  <c r="K88" i="3"/>
  <c r="AF89" i="3"/>
  <c r="AC90" i="3"/>
  <c r="O47" i="4"/>
  <c r="Y47" i="4"/>
  <c r="E40" i="4"/>
  <c r="O48" i="4" s="1"/>
  <c r="AC47" i="4"/>
  <c r="I40" i="4"/>
  <c r="S48" i="4" s="1"/>
  <c r="E16" i="5"/>
  <c r="P25" i="5" s="1"/>
  <c r="AA25" i="5" s="1"/>
  <c r="P23" i="5"/>
  <c r="AA23" i="5" s="1"/>
  <c r="C16" i="5"/>
  <c r="O23" i="5"/>
  <c r="Z23" i="5" s="1"/>
  <c r="D16" i="5"/>
  <c r="O25" i="5" s="1"/>
  <c r="Z25" i="5" s="1"/>
  <c r="K13" i="3"/>
  <c r="K19" i="3"/>
  <c r="AD78" i="3"/>
  <c r="R78" i="3"/>
  <c r="AH78" i="3"/>
  <c r="V78" i="3"/>
  <c r="AB80" i="3"/>
  <c r="P80" i="3"/>
  <c r="AF80" i="3"/>
  <c r="T80" i="3"/>
  <c r="K23" i="3"/>
  <c r="AD82" i="3"/>
  <c r="R82" i="3"/>
  <c r="AH82" i="3"/>
  <c r="V82" i="3"/>
  <c r="AB86" i="3"/>
  <c r="P86" i="3"/>
  <c r="AF86" i="3"/>
  <c r="T86" i="3"/>
  <c r="K29" i="3"/>
  <c r="AD88" i="3"/>
  <c r="R88" i="3"/>
  <c r="AH88" i="3"/>
  <c r="V88" i="3"/>
  <c r="AB90" i="3"/>
  <c r="P90" i="3"/>
  <c r="AF90" i="3"/>
  <c r="T90" i="3"/>
  <c r="O62" i="3"/>
  <c r="AA91" i="3"/>
  <c r="S62" i="3"/>
  <c r="AE91" i="3"/>
  <c r="K33" i="3"/>
  <c r="AD92" i="3"/>
  <c r="R92" i="3"/>
  <c r="R63" i="3"/>
  <c r="AH92" i="3"/>
  <c r="V92" i="3"/>
  <c r="V63" i="3"/>
  <c r="P42" i="3"/>
  <c r="T42" i="3"/>
  <c r="AA42" i="3"/>
  <c r="AE42" i="3"/>
  <c r="Q43" i="3"/>
  <c r="U43" i="3"/>
  <c r="R44" i="3"/>
  <c r="V44" i="3"/>
  <c r="O47" i="3"/>
  <c r="S47" i="3"/>
  <c r="AA48" i="3"/>
  <c r="AE48" i="3"/>
  <c r="Q49" i="3"/>
  <c r="U49" i="3"/>
  <c r="AC50" i="3"/>
  <c r="AG50" i="3"/>
  <c r="O51" i="3"/>
  <c r="S51" i="3"/>
  <c r="AA52" i="3"/>
  <c r="AE52" i="3"/>
  <c r="Q53" i="3"/>
  <c r="U53" i="3"/>
  <c r="AC54" i="3"/>
  <c r="AG54" i="3"/>
  <c r="O57" i="3"/>
  <c r="S57" i="3"/>
  <c r="AA58" i="3"/>
  <c r="AE58" i="3"/>
  <c r="Q59" i="3"/>
  <c r="U59" i="3"/>
  <c r="AC60" i="3"/>
  <c r="AG60" i="3"/>
  <c r="O61" i="3"/>
  <c r="S61" i="3"/>
  <c r="AE62" i="3"/>
  <c r="Q63" i="3"/>
  <c r="V71" i="3"/>
  <c r="S72" i="3"/>
  <c r="AD72" i="3"/>
  <c r="O77" i="3"/>
  <c r="AH77" i="3"/>
  <c r="AE78" i="3"/>
  <c r="AB79" i="3"/>
  <c r="S81" i="3"/>
  <c r="K82" i="3"/>
  <c r="AF83" i="3"/>
  <c r="AC86" i="3"/>
  <c r="Q89" i="3"/>
  <c r="AG90" i="3"/>
  <c r="AD91" i="3"/>
  <c r="N48" i="5"/>
  <c r="Y48" i="5" s="1"/>
  <c r="C41" i="5"/>
  <c r="N50" i="5" s="1"/>
  <c r="Y50" i="5" s="1"/>
  <c r="K14" i="3"/>
  <c r="Q76" i="3"/>
  <c r="U76" i="3"/>
  <c r="AB77" i="3"/>
  <c r="P77" i="3"/>
  <c r="AF77" i="3"/>
  <c r="T77" i="3"/>
  <c r="K20" i="3"/>
  <c r="AD79" i="3"/>
  <c r="R79" i="3"/>
  <c r="AH79" i="3"/>
  <c r="V79" i="3"/>
  <c r="AB81" i="3"/>
  <c r="P81" i="3"/>
  <c r="AF81" i="3"/>
  <c r="T81" i="3"/>
  <c r="K24" i="3"/>
  <c r="AD83" i="3"/>
  <c r="R83" i="3"/>
  <c r="AH83" i="3"/>
  <c r="V83" i="3"/>
  <c r="AB87" i="3"/>
  <c r="P87" i="3"/>
  <c r="AF87" i="3"/>
  <c r="T87" i="3"/>
  <c r="K30" i="3"/>
  <c r="AD89" i="3"/>
  <c r="R89" i="3"/>
  <c r="AH89" i="3"/>
  <c r="V89" i="3"/>
  <c r="AB91" i="3"/>
  <c r="P91" i="3"/>
  <c r="AB62" i="3"/>
  <c r="AF91" i="3"/>
  <c r="T91" i="3"/>
  <c r="AF62" i="3"/>
  <c r="O92" i="3"/>
  <c r="AA63" i="3"/>
  <c r="S92" i="3"/>
  <c r="AE63" i="3"/>
  <c r="K34" i="3"/>
  <c r="AB42" i="3"/>
  <c r="AF42" i="3"/>
  <c r="R43" i="3"/>
  <c r="V43" i="3"/>
  <c r="AC43" i="3"/>
  <c r="AG43" i="3"/>
  <c r="P47" i="3"/>
  <c r="T47" i="3"/>
  <c r="AA47" i="3"/>
  <c r="AE47" i="3"/>
  <c r="AB48" i="3"/>
  <c r="AF48" i="3"/>
  <c r="R49" i="3"/>
  <c r="V49" i="3"/>
  <c r="AC49" i="3"/>
  <c r="AG49" i="3"/>
  <c r="AD50" i="3"/>
  <c r="AH50" i="3"/>
  <c r="P51" i="3"/>
  <c r="T51" i="3"/>
  <c r="AA51" i="3"/>
  <c r="AE51" i="3"/>
  <c r="AB52" i="3"/>
  <c r="AF52" i="3"/>
  <c r="R53" i="3"/>
  <c r="V53" i="3"/>
  <c r="AC53" i="3"/>
  <c r="AG53" i="3"/>
  <c r="AD54" i="3"/>
  <c r="AH54" i="3"/>
  <c r="P57" i="3"/>
  <c r="T57" i="3"/>
  <c r="AA57" i="3"/>
  <c r="AE57" i="3"/>
  <c r="AB58" i="3"/>
  <c r="AF58" i="3"/>
  <c r="R59" i="3"/>
  <c r="V59" i="3"/>
  <c r="AC59" i="3"/>
  <c r="AG59" i="3"/>
  <c r="AD60" i="3"/>
  <c r="AH60" i="3"/>
  <c r="P61" i="3"/>
  <c r="T61" i="3"/>
  <c r="AA61" i="3"/>
  <c r="AE61" i="3"/>
  <c r="V62" i="3"/>
  <c r="S63" i="3"/>
  <c r="AD63" i="3"/>
  <c r="P71" i="3"/>
  <c r="AA71" i="3"/>
  <c r="U72" i="3"/>
  <c r="P76" i="3"/>
  <c r="AA76" i="3"/>
  <c r="S77" i="3"/>
  <c r="AF79" i="3"/>
  <c r="AC80" i="3"/>
  <c r="K83" i="3"/>
  <c r="Q83" i="3"/>
  <c r="AG86" i="3"/>
  <c r="AD87" i="3"/>
  <c r="AA88" i="3"/>
  <c r="U89" i="3"/>
  <c r="K91" i="3"/>
  <c r="O91" i="3"/>
  <c r="AH91" i="3"/>
  <c r="AE92" i="3"/>
  <c r="T23" i="5"/>
  <c r="AE23" i="5" s="1"/>
  <c r="B15" i="4"/>
  <c r="L23" i="4"/>
  <c r="J15" i="5"/>
  <c r="R24" i="5"/>
  <c r="AC24" i="5" s="1"/>
  <c r="R49" i="5"/>
  <c r="AC49" i="5" s="1"/>
  <c r="G41" i="5"/>
  <c r="R50" i="5" s="1"/>
  <c r="AC50" i="5" s="1"/>
  <c r="P104" i="5"/>
  <c r="AA104" i="5" s="1"/>
  <c r="P98" i="5"/>
  <c r="AA98" i="5" s="1"/>
  <c r="T104" i="5"/>
  <c r="AE104" i="5" s="1"/>
  <c r="T98" i="5"/>
  <c r="AE98" i="5" s="1"/>
  <c r="L256" i="7"/>
  <c r="S24" i="5"/>
  <c r="AD24" i="5" s="1"/>
  <c r="H16" i="5"/>
  <c r="S25" i="5" s="1"/>
  <c r="AD25" i="5" s="1"/>
  <c r="B25" i="5"/>
  <c r="B14" i="5"/>
  <c r="J23" i="5"/>
  <c r="E41" i="5"/>
  <c r="P50" i="5" s="1"/>
  <c r="AA50" i="5" s="1"/>
  <c r="P48" i="5"/>
  <c r="AA48" i="5" s="1"/>
  <c r="J57" i="7"/>
  <c r="J55" i="7"/>
  <c r="P23" i="4"/>
  <c r="C83" i="4"/>
  <c r="D83" i="4" s="1"/>
  <c r="E83" i="4" s="1"/>
  <c r="F83" i="4" s="1"/>
  <c r="G83" i="4" s="1"/>
  <c r="H83" i="4" s="1"/>
  <c r="I83" i="4" s="1"/>
  <c r="C25" i="5"/>
  <c r="G25" i="5"/>
  <c r="R25" i="5" s="1"/>
  <c r="AC25" i="5" s="1"/>
  <c r="J24" i="5"/>
  <c r="N75" i="5"/>
  <c r="Y75" i="5" s="1"/>
  <c r="N81" i="5"/>
  <c r="Y81" i="5" s="1"/>
  <c r="J19" i="8"/>
  <c r="O23" i="4"/>
  <c r="S23" i="4"/>
  <c r="B40" i="4"/>
  <c r="L48" i="4" s="1"/>
  <c r="F40" i="4"/>
  <c r="P48" i="4" s="1"/>
  <c r="L47" i="4"/>
  <c r="P47" i="4"/>
  <c r="Q23" i="5"/>
  <c r="AB23" i="5" s="1"/>
  <c r="T48" i="5"/>
  <c r="AE48" i="5" s="1"/>
  <c r="O75" i="5"/>
  <c r="Z75" i="5" s="1"/>
  <c r="O81" i="5"/>
  <c r="Z81" i="5" s="1"/>
  <c r="S75" i="5"/>
  <c r="AD75" i="5" s="1"/>
  <c r="S81" i="5"/>
  <c r="AD81" i="5" s="1"/>
  <c r="I15" i="6"/>
  <c r="E15" i="6"/>
  <c r="H15" i="6"/>
  <c r="D15" i="6"/>
  <c r="G15" i="6"/>
  <c r="C15" i="6"/>
  <c r="H41" i="6"/>
  <c r="D41" i="6"/>
  <c r="G41" i="6"/>
  <c r="C41" i="6"/>
  <c r="F41" i="6"/>
  <c r="B41" i="6"/>
  <c r="E41" i="6"/>
  <c r="E52" i="6"/>
  <c r="I52" i="6"/>
  <c r="J32" i="7"/>
  <c r="J33" i="7"/>
  <c r="J241" i="7"/>
  <c r="J249" i="7"/>
  <c r="J8" i="8"/>
  <c r="J9" i="8" s="1"/>
  <c r="C40" i="4"/>
  <c r="M48" i="4" s="1"/>
  <c r="G40" i="4"/>
  <c r="Q48" i="4" s="1"/>
  <c r="M47" i="4"/>
  <c r="Q47" i="4"/>
  <c r="J39" i="5"/>
  <c r="F15" i="6"/>
  <c r="B26" i="6"/>
  <c r="F26" i="6"/>
  <c r="I41" i="6"/>
  <c r="B52" i="6"/>
  <c r="F52" i="6"/>
  <c r="J19" i="7"/>
  <c r="J55" i="8"/>
  <c r="J211" i="7"/>
  <c r="K211" i="7"/>
  <c r="M23" i="4"/>
  <c r="Q23" i="4"/>
  <c r="D40" i="4"/>
  <c r="N48" i="4" s="1"/>
  <c r="H40" i="4"/>
  <c r="R48" i="4" s="1"/>
  <c r="N47" i="4"/>
  <c r="R47" i="4"/>
  <c r="J75" i="5"/>
  <c r="N104" i="5"/>
  <c r="Y104" i="5" s="1"/>
  <c r="O104" i="5"/>
  <c r="Z104" i="5" s="1"/>
  <c r="O98" i="5"/>
  <c r="Z98" i="5" s="1"/>
  <c r="B16" i="6"/>
  <c r="C26" i="6"/>
  <c r="G26" i="6"/>
  <c r="C52" i="6"/>
  <c r="G52" i="6"/>
  <c r="L44" i="7"/>
  <c r="L56" i="7" s="1"/>
  <c r="J25" i="8"/>
  <c r="J39" i="8"/>
  <c r="J40" i="8" s="1"/>
  <c r="J142" i="7"/>
  <c r="J38" i="8" s="1"/>
  <c r="J42" i="8" s="1"/>
  <c r="J49" i="8"/>
  <c r="J50" i="8" s="1"/>
  <c r="J231" i="7"/>
  <c r="J260" i="7" s="1"/>
  <c r="J232" i="7"/>
  <c r="J47" i="8"/>
  <c r="J48" i="8" s="1"/>
  <c r="J91" i="5"/>
  <c r="S98" i="5"/>
  <c r="AD98" i="5" s="1"/>
  <c r="J68" i="5"/>
  <c r="P81" i="5"/>
  <c r="AA81" i="5" s="1"/>
  <c r="T81" i="5"/>
  <c r="AE81" i="5" s="1"/>
  <c r="J104" i="2" l="1"/>
  <c r="U81" i="5"/>
  <c r="AF81" i="5" s="1"/>
  <c r="U75" i="5"/>
  <c r="AF75" i="5" s="1"/>
  <c r="W78" i="3"/>
  <c r="AI78" i="3"/>
  <c r="AI49" i="3"/>
  <c r="W49" i="3"/>
  <c r="AI87" i="3"/>
  <c r="W87" i="3"/>
  <c r="AI58" i="3"/>
  <c r="W58" i="3"/>
  <c r="R143" i="2"/>
  <c r="AC143" i="2" s="1"/>
  <c r="R93" i="2"/>
  <c r="AC93" i="2" s="1"/>
  <c r="M134" i="2"/>
  <c r="X134" i="2" s="1"/>
  <c r="J34" i="2"/>
  <c r="M84" i="2"/>
  <c r="X84" i="2" s="1"/>
  <c r="B35" i="2"/>
  <c r="N130" i="2"/>
  <c r="Y130" i="2" s="1"/>
  <c r="H137" i="2"/>
  <c r="H144" i="2" s="1"/>
  <c r="S102" i="2"/>
  <c r="AD102" i="2" s="1"/>
  <c r="U116" i="2"/>
  <c r="AF116" i="2" s="1"/>
  <c r="U66" i="2"/>
  <c r="AF66" i="2" s="1"/>
  <c r="U97" i="2"/>
  <c r="AF97" i="2" s="1"/>
  <c r="J52" i="2"/>
  <c r="U102" i="2" s="1"/>
  <c r="AF102" i="2" s="1"/>
  <c r="P25" i="6"/>
  <c r="Z25" i="6" s="1"/>
  <c r="F16" i="6"/>
  <c r="H42" i="6"/>
  <c r="R51" i="6"/>
  <c r="AB51" i="6" s="1"/>
  <c r="AI86" i="3"/>
  <c r="W86" i="3"/>
  <c r="AI57" i="3"/>
  <c r="W57" i="3"/>
  <c r="M56" i="5"/>
  <c r="X56" i="5" s="1"/>
  <c r="U49" i="5"/>
  <c r="AF49" i="5" s="1"/>
  <c r="N143" i="2"/>
  <c r="Y143" i="2" s="1"/>
  <c r="N93" i="2"/>
  <c r="Y93" i="2" s="1"/>
  <c r="S113" i="2"/>
  <c r="AD113" i="2" s="1"/>
  <c r="N129" i="2"/>
  <c r="Y129" i="2" s="1"/>
  <c r="M143" i="2"/>
  <c r="X143" i="2" s="1"/>
  <c r="M93" i="2"/>
  <c r="X93" i="2" s="1"/>
  <c r="O102" i="2"/>
  <c r="Z102" i="2" s="1"/>
  <c r="U142" i="2"/>
  <c r="AF142" i="2" s="1"/>
  <c r="U92" i="2"/>
  <c r="AF92" i="2" s="1"/>
  <c r="S134" i="2"/>
  <c r="AD134" i="2" s="1"/>
  <c r="S84" i="2"/>
  <c r="AD84" i="2" s="1"/>
  <c r="H35" i="2"/>
  <c r="U124" i="2"/>
  <c r="AF124" i="2" s="1"/>
  <c r="U74" i="2"/>
  <c r="AF74" i="2" s="1"/>
  <c r="O143" i="2"/>
  <c r="Z143" i="2" s="1"/>
  <c r="O93" i="2"/>
  <c r="Z93" i="2" s="1"/>
  <c r="S123" i="2"/>
  <c r="AD123" i="2" s="1"/>
  <c r="S73" i="2"/>
  <c r="AD73" i="2" s="1"/>
  <c r="P81" i="2"/>
  <c r="AA81" i="2" s="1"/>
  <c r="O131" i="2"/>
  <c r="Z131" i="2" s="1"/>
  <c r="O81" i="2"/>
  <c r="Z81" i="2" s="1"/>
  <c r="P134" i="2"/>
  <c r="AA134" i="2" s="1"/>
  <c r="E35" i="2"/>
  <c r="P84" i="2"/>
  <c r="AA84" i="2" s="1"/>
  <c r="D42" i="6"/>
  <c r="N51" i="6"/>
  <c r="X51" i="6" s="1"/>
  <c r="V25" i="4"/>
  <c r="L25" i="4"/>
  <c r="AI89" i="3"/>
  <c r="W89" i="3"/>
  <c r="W60" i="3"/>
  <c r="AI60" i="3"/>
  <c r="J210" i="2"/>
  <c r="B137" i="2"/>
  <c r="B144" i="2" s="1"/>
  <c r="U129" i="2"/>
  <c r="AF129" i="2" s="1"/>
  <c r="U79" i="2"/>
  <c r="AF79" i="2" s="1"/>
  <c r="U121" i="2"/>
  <c r="AF121" i="2" s="1"/>
  <c r="U71" i="2"/>
  <c r="AF71" i="2" s="1"/>
  <c r="S131" i="2"/>
  <c r="AD131" i="2" s="1"/>
  <c r="S81" i="2"/>
  <c r="AD81" i="2" s="1"/>
  <c r="O119" i="2"/>
  <c r="Z119" i="2" s="1"/>
  <c r="O69" i="2"/>
  <c r="Z69" i="2" s="1"/>
  <c r="U123" i="2"/>
  <c r="AF123" i="2" s="1"/>
  <c r="U73" i="2"/>
  <c r="AF73" i="2" s="1"/>
  <c r="AI81" i="3"/>
  <c r="W81" i="3"/>
  <c r="AI52" i="3"/>
  <c r="W52" i="3"/>
  <c r="AI83" i="3"/>
  <c r="W83" i="3"/>
  <c r="W54" i="3"/>
  <c r="AI54" i="3"/>
  <c r="C15" i="4"/>
  <c r="J54" i="8"/>
  <c r="J58" i="8" s="1"/>
  <c r="L56" i="6"/>
  <c r="S51" i="6"/>
  <c r="AC51" i="6" s="1"/>
  <c r="I42" i="6"/>
  <c r="V56" i="6" s="1"/>
  <c r="M55" i="5"/>
  <c r="X55" i="5" s="1"/>
  <c r="U48" i="5"/>
  <c r="AF48" i="5" s="1"/>
  <c r="M51" i="6"/>
  <c r="W51" i="6" s="1"/>
  <c r="C42" i="6"/>
  <c r="M25" i="6"/>
  <c r="W25" i="6" s="1"/>
  <c r="C16" i="6"/>
  <c r="E16" i="6"/>
  <c r="O25" i="6"/>
  <c r="Y25" i="6" s="1"/>
  <c r="B16" i="5"/>
  <c r="M23" i="5"/>
  <c r="X23" i="5" s="1"/>
  <c r="J14" i="5"/>
  <c r="W88" i="3"/>
  <c r="AI88" i="3"/>
  <c r="AI59" i="3"/>
  <c r="W59" i="3"/>
  <c r="AI77" i="3"/>
  <c r="AI48" i="3"/>
  <c r="W48" i="3"/>
  <c r="W77" i="3"/>
  <c r="N25" i="5"/>
  <c r="Y25" i="5" s="1"/>
  <c r="AI80" i="3"/>
  <c r="W80" i="3"/>
  <c r="AI51" i="3"/>
  <c r="W51" i="3"/>
  <c r="AI73" i="3"/>
  <c r="W44" i="3"/>
  <c r="AI44" i="3"/>
  <c r="U140" i="2"/>
  <c r="AF140" i="2" s="1"/>
  <c r="U90" i="2"/>
  <c r="AF90" i="2" s="1"/>
  <c r="T129" i="2"/>
  <c r="AE129" i="2" s="1"/>
  <c r="E137" i="2"/>
  <c r="E144" i="2" s="1"/>
  <c r="C137" i="2"/>
  <c r="C144" i="2"/>
  <c r="F144" i="2"/>
  <c r="U83" i="2"/>
  <c r="AF83" i="2" s="1"/>
  <c r="U133" i="2"/>
  <c r="AF133" i="2" s="1"/>
  <c r="U63" i="2"/>
  <c r="AF63" i="2" s="1"/>
  <c r="N131" i="2"/>
  <c r="Y131" i="2" s="1"/>
  <c r="N81" i="2"/>
  <c r="Y81" i="2" s="1"/>
  <c r="U128" i="2"/>
  <c r="AF128" i="2" s="1"/>
  <c r="U78" i="2"/>
  <c r="AF78" i="2" s="1"/>
  <c r="U120" i="2"/>
  <c r="AF120" i="2" s="1"/>
  <c r="U70" i="2"/>
  <c r="AF70" i="2" s="1"/>
  <c r="U141" i="2"/>
  <c r="AF141" i="2" s="1"/>
  <c r="U91" i="2"/>
  <c r="AF91" i="2" s="1"/>
  <c r="R81" i="2"/>
  <c r="AC81" i="2" s="1"/>
  <c r="U115" i="2"/>
  <c r="AF115" i="2" s="1"/>
  <c r="U65" i="2"/>
  <c r="AF65" i="2" s="1"/>
  <c r="T123" i="2"/>
  <c r="AE123" i="2" s="1"/>
  <c r="T73" i="2"/>
  <c r="AE73" i="2" s="1"/>
  <c r="U130" i="2"/>
  <c r="AF130" i="2" s="1"/>
  <c r="U80" i="2"/>
  <c r="AF80" i="2" s="1"/>
  <c r="O123" i="2"/>
  <c r="Z123" i="2" s="1"/>
  <c r="O73" i="2"/>
  <c r="Z73" i="2" s="1"/>
  <c r="S112" i="2"/>
  <c r="AD112" i="2" s="1"/>
  <c r="H19" i="2"/>
  <c r="S62" i="2"/>
  <c r="AD62" i="2" s="1"/>
  <c r="T134" i="2"/>
  <c r="AE134" i="2" s="1"/>
  <c r="I35" i="2"/>
  <c r="T84" i="2"/>
  <c r="AE84" i="2" s="1"/>
  <c r="P119" i="2"/>
  <c r="AA119" i="2" s="1"/>
  <c r="P69" i="2"/>
  <c r="AA69" i="2" s="1"/>
  <c r="N119" i="2"/>
  <c r="Y119" i="2" s="1"/>
  <c r="N69" i="2"/>
  <c r="Y69" i="2" s="1"/>
  <c r="U114" i="2"/>
  <c r="AF114" i="2" s="1"/>
  <c r="U64" i="2"/>
  <c r="AF64" i="2" s="1"/>
  <c r="L51" i="6"/>
  <c r="V51" i="6" s="1"/>
  <c r="B42" i="6"/>
  <c r="N25" i="6"/>
  <c r="X25" i="6" s="1"/>
  <c r="D16" i="6"/>
  <c r="M31" i="5"/>
  <c r="X31" i="5" s="1"/>
  <c r="U24" i="5"/>
  <c r="AF24" i="5" s="1"/>
  <c r="AI90" i="3"/>
  <c r="W90" i="3"/>
  <c r="AI61" i="3"/>
  <c r="W61" i="3"/>
  <c r="P143" i="2"/>
  <c r="AA143" i="2" s="1"/>
  <c r="P93" i="2"/>
  <c r="AA93" i="2" s="1"/>
  <c r="G37" i="2"/>
  <c r="G44" i="2" s="1"/>
  <c r="R85" i="2"/>
  <c r="AC85" i="2" s="1"/>
  <c r="S143" i="2"/>
  <c r="AD143" i="2" s="1"/>
  <c r="T131" i="2"/>
  <c r="AE131" i="2" s="1"/>
  <c r="T81" i="2"/>
  <c r="AE81" i="2" s="1"/>
  <c r="P123" i="2"/>
  <c r="AA123" i="2" s="1"/>
  <c r="P73" i="2"/>
  <c r="AA73" i="2" s="1"/>
  <c r="U126" i="2"/>
  <c r="AF126" i="2" s="1"/>
  <c r="U76" i="2"/>
  <c r="AF76" i="2" s="1"/>
  <c r="P51" i="6"/>
  <c r="Z51" i="6" s="1"/>
  <c r="F42" i="6"/>
  <c r="R25" i="6"/>
  <c r="AB25" i="6" s="1"/>
  <c r="H16" i="6"/>
  <c r="AI79" i="3"/>
  <c r="W79" i="3"/>
  <c r="W50" i="3"/>
  <c r="AI50" i="3"/>
  <c r="O51" i="6"/>
  <c r="Y51" i="6" s="1"/>
  <c r="E42" i="6"/>
  <c r="Q51" i="6"/>
  <c r="AA51" i="6" s="1"/>
  <c r="G42" i="6"/>
  <c r="Q25" i="6"/>
  <c r="AA25" i="6" s="1"/>
  <c r="G16" i="6"/>
  <c r="I16" i="6"/>
  <c r="V30" i="6" s="1"/>
  <c r="L30" i="6"/>
  <c r="S25" i="6"/>
  <c r="AC25" i="6" s="1"/>
  <c r="J25" i="5"/>
  <c r="L260" i="7"/>
  <c r="W92" i="3"/>
  <c r="AI63" i="3"/>
  <c r="W63" i="3"/>
  <c r="AI92" i="3"/>
  <c r="W82" i="3"/>
  <c r="AI82" i="3"/>
  <c r="AI53" i="3"/>
  <c r="W53" i="3"/>
  <c r="AI72" i="3"/>
  <c r="AI43" i="3"/>
  <c r="W72" i="3"/>
  <c r="W43" i="3"/>
  <c r="W62" i="3"/>
  <c r="AI91" i="3"/>
  <c r="W91" i="3"/>
  <c r="AI62" i="3"/>
  <c r="W71" i="3"/>
  <c r="AI71" i="3"/>
  <c r="AI42" i="3"/>
  <c r="W42" i="3"/>
  <c r="AI76" i="3"/>
  <c r="W76" i="3"/>
  <c r="AI47" i="3"/>
  <c r="W47" i="3"/>
  <c r="M50" i="5"/>
  <c r="X50" i="5" s="1"/>
  <c r="J41" i="5"/>
  <c r="G233" i="2"/>
  <c r="P129" i="2"/>
  <c r="AA129" i="2" s="1"/>
  <c r="Q134" i="2"/>
  <c r="AB134" i="2" s="1"/>
  <c r="Q84" i="2"/>
  <c r="AB84" i="2" s="1"/>
  <c r="F35" i="2"/>
  <c r="P131" i="2"/>
  <c r="AA131" i="2" s="1"/>
  <c r="I137" i="2"/>
  <c r="I144" i="2" s="1"/>
  <c r="G137" i="2"/>
  <c r="G144" i="2" s="1"/>
  <c r="D137" i="2"/>
  <c r="D144" i="2" s="1"/>
  <c r="U139" i="2"/>
  <c r="AF139" i="2" s="1"/>
  <c r="U89" i="2"/>
  <c r="AF89" i="2" s="1"/>
  <c r="J43" i="2"/>
  <c r="U125" i="2"/>
  <c r="AF125" i="2" s="1"/>
  <c r="U75" i="2"/>
  <c r="AF75" i="2" s="1"/>
  <c r="U117" i="2"/>
  <c r="AF117" i="2" s="1"/>
  <c r="U67" i="2"/>
  <c r="AF67" i="2" s="1"/>
  <c r="T143" i="2"/>
  <c r="AE143" i="2" s="1"/>
  <c r="T93" i="2"/>
  <c r="AE93" i="2" s="1"/>
  <c r="U132" i="2"/>
  <c r="AF132" i="2" s="1"/>
  <c r="U82" i="2"/>
  <c r="AF82" i="2" s="1"/>
  <c r="U112" i="2"/>
  <c r="AF112" i="2" s="1"/>
  <c r="U62" i="2"/>
  <c r="AF62" i="2" s="1"/>
  <c r="Q89" i="2"/>
  <c r="AB89" i="2" s="1"/>
  <c r="F43" i="2"/>
  <c r="Q139" i="2"/>
  <c r="AB139" i="2" s="1"/>
  <c r="U127" i="2"/>
  <c r="AF127" i="2" s="1"/>
  <c r="U77" i="2"/>
  <c r="AF77" i="2" s="1"/>
  <c r="R123" i="2"/>
  <c r="AC123" i="2" s="1"/>
  <c r="R73" i="2"/>
  <c r="AC73" i="2" s="1"/>
  <c r="M131" i="2"/>
  <c r="X131" i="2" s="1"/>
  <c r="M81" i="2"/>
  <c r="X81" i="2" s="1"/>
  <c r="J31" i="2"/>
  <c r="T119" i="2"/>
  <c r="AE119" i="2" s="1"/>
  <c r="T69" i="2"/>
  <c r="AE69" i="2" s="1"/>
  <c r="U122" i="2"/>
  <c r="AF122" i="2" s="1"/>
  <c r="U72" i="2"/>
  <c r="AF72" i="2" s="1"/>
  <c r="O134" i="2"/>
  <c r="Z134" i="2" s="1"/>
  <c r="O84" i="2"/>
  <c r="Z84" i="2" s="1"/>
  <c r="D35" i="2"/>
  <c r="S116" i="2"/>
  <c r="AD116" i="2" s="1"/>
  <c r="S66" i="2"/>
  <c r="AD66" i="2" s="1"/>
  <c r="C35" i="2"/>
  <c r="R131" i="2"/>
  <c r="AC131" i="2" s="1"/>
  <c r="U118" i="2"/>
  <c r="AF118" i="2" s="1"/>
  <c r="U68" i="2"/>
  <c r="AF68" i="2" s="1"/>
  <c r="M119" i="2"/>
  <c r="X119" i="2" s="1"/>
  <c r="M69" i="2"/>
  <c r="X69" i="2" s="1"/>
  <c r="J19" i="2"/>
  <c r="R144" i="2" l="1"/>
  <c r="AC144" i="2" s="1"/>
  <c r="R94" i="2"/>
  <c r="AC94" i="2" s="1"/>
  <c r="G54" i="2"/>
  <c r="R104" i="2" s="1"/>
  <c r="AC104" i="2" s="1"/>
  <c r="M25" i="5"/>
  <c r="X25" i="5" s="1"/>
  <c r="J16" i="5"/>
  <c r="P135" i="2"/>
  <c r="AA135" i="2" s="1"/>
  <c r="P85" i="2"/>
  <c r="AA85" i="2" s="1"/>
  <c r="E37" i="2"/>
  <c r="U134" i="2"/>
  <c r="AF134" i="2" s="1"/>
  <c r="U84" i="2"/>
  <c r="AF84" i="2" s="1"/>
  <c r="U143" i="2"/>
  <c r="AF143" i="2" s="1"/>
  <c r="U93" i="2"/>
  <c r="AF93" i="2" s="1"/>
  <c r="R135" i="2"/>
  <c r="AC135" i="2" s="1"/>
  <c r="J56" i="8"/>
  <c r="J216" i="2"/>
  <c r="U113" i="2"/>
  <c r="AF113" i="2" s="1"/>
  <c r="S135" i="2"/>
  <c r="AD135" i="2" s="1"/>
  <c r="H37" i="2"/>
  <c r="S85" i="2"/>
  <c r="AD85" i="2" s="1"/>
  <c r="U131" i="2"/>
  <c r="AF131" i="2" s="1"/>
  <c r="U81" i="2"/>
  <c r="AF81" i="2" s="1"/>
  <c r="Q135" i="2"/>
  <c r="AB135" i="2" s="1"/>
  <c r="Q85" i="2"/>
  <c r="AB85" i="2" s="1"/>
  <c r="F37" i="2"/>
  <c r="S119" i="2"/>
  <c r="AD119" i="2" s="1"/>
  <c r="S69" i="2"/>
  <c r="AD69" i="2" s="1"/>
  <c r="M30" i="5"/>
  <c r="X30" i="5" s="1"/>
  <c r="U23" i="5"/>
  <c r="AF23" i="5" s="1"/>
  <c r="W25" i="4"/>
  <c r="M25" i="4"/>
  <c r="D15" i="4"/>
  <c r="M135" i="2"/>
  <c r="X135" i="2" s="1"/>
  <c r="B37" i="2"/>
  <c r="M85" i="2"/>
  <c r="X85" i="2" s="1"/>
  <c r="J35" i="2"/>
  <c r="U69" i="2"/>
  <c r="AF69" i="2" s="1"/>
  <c r="N135" i="2"/>
  <c r="Y135" i="2" s="1"/>
  <c r="C37" i="2"/>
  <c r="N85" i="2"/>
  <c r="Y85" i="2" s="1"/>
  <c r="Q143" i="2"/>
  <c r="AB143" i="2" s="1"/>
  <c r="Q93" i="2"/>
  <c r="AB93" i="2" s="1"/>
  <c r="F44" i="2"/>
  <c r="R137" i="2"/>
  <c r="AC137" i="2" s="1"/>
  <c r="R87" i="2"/>
  <c r="AC87" i="2" s="1"/>
  <c r="O135" i="2"/>
  <c r="Z135" i="2" s="1"/>
  <c r="D37" i="2"/>
  <c r="O85" i="2"/>
  <c r="Z85" i="2" s="1"/>
  <c r="U50" i="5"/>
  <c r="AF50" i="5" s="1"/>
  <c r="M57" i="5"/>
  <c r="X57" i="5" s="1"/>
  <c r="T135" i="2"/>
  <c r="AE135" i="2" s="1"/>
  <c r="T85" i="2"/>
  <c r="AE85" i="2" s="1"/>
  <c r="I37" i="2"/>
  <c r="M137" i="2" l="1"/>
  <c r="X137" i="2" s="1"/>
  <c r="M87" i="2"/>
  <c r="X87" i="2" s="1"/>
  <c r="J37" i="2"/>
  <c r="B44" i="2"/>
  <c r="P137" i="2"/>
  <c r="AA137" i="2" s="1"/>
  <c r="P87" i="2"/>
  <c r="AA87" i="2" s="1"/>
  <c r="E44" i="2"/>
  <c r="O137" i="2"/>
  <c r="Z137" i="2" s="1"/>
  <c r="O87" i="2"/>
  <c r="Z87" i="2" s="1"/>
  <c r="D44" i="2"/>
  <c r="Q144" i="2"/>
  <c r="AB144" i="2" s="1"/>
  <c r="Q94" i="2"/>
  <c r="AB94" i="2" s="1"/>
  <c r="F54" i="2"/>
  <c r="Q104" i="2" s="1"/>
  <c r="AB104" i="2" s="1"/>
  <c r="N137" i="2"/>
  <c r="Y137" i="2" s="1"/>
  <c r="N87" i="2"/>
  <c r="Y87" i="2" s="1"/>
  <c r="C44" i="2"/>
  <c r="T137" i="2"/>
  <c r="AE137" i="2" s="1"/>
  <c r="T87" i="2"/>
  <c r="AE87" i="2" s="1"/>
  <c r="I44" i="2"/>
  <c r="U135" i="2"/>
  <c r="AF135" i="2" s="1"/>
  <c r="U85" i="2"/>
  <c r="AF85" i="2" s="1"/>
  <c r="E15" i="4"/>
  <c r="N25" i="4"/>
  <c r="X25" i="4"/>
  <c r="Q137" i="2"/>
  <c r="AB137" i="2" s="1"/>
  <c r="Q87" i="2"/>
  <c r="AB87" i="2" s="1"/>
  <c r="S137" i="2"/>
  <c r="AD137" i="2" s="1"/>
  <c r="S87" i="2"/>
  <c r="AD87" i="2" s="1"/>
  <c r="H44" i="2"/>
  <c r="J233" i="2"/>
  <c r="U25" i="5"/>
  <c r="AF25" i="5" s="1"/>
  <c r="M32" i="5"/>
  <c r="X32" i="5" s="1"/>
  <c r="M144" i="2" l="1"/>
  <c r="X144" i="2" s="1"/>
  <c r="M94" i="2"/>
  <c r="X94" i="2" s="1"/>
  <c r="B54" i="2"/>
  <c r="S144" i="2"/>
  <c r="AD144" i="2" s="1"/>
  <c r="S94" i="2"/>
  <c r="AD94" i="2" s="1"/>
  <c r="H54" i="2"/>
  <c r="S104" i="2" s="1"/>
  <c r="AD104" i="2" s="1"/>
  <c r="O144" i="2"/>
  <c r="Z144" i="2" s="1"/>
  <c r="O94" i="2"/>
  <c r="Z94" i="2" s="1"/>
  <c r="D54" i="2"/>
  <c r="O104" i="2" s="1"/>
  <c r="Z104" i="2" s="1"/>
  <c r="P144" i="2"/>
  <c r="AA144" i="2" s="1"/>
  <c r="P94" i="2"/>
  <c r="AA94" i="2" s="1"/>
  <c r="E54" i="2"/>
  <c r="P104" i="2" s="1"/>
  <c r="AA104" i="2" s="1"/>
  <c r="U87" i="2"/>
  <c r="AF87" i="2" s="1"/>
  <c r="J44" i="2"/>
  <c r="J137" i="2"/>
  <c r="J144" i="2" s="1"/>
  <c r="U119" i="2"/>
  <c r="AF119" i="2" s="1"/>
  <c r="Y25" i="4"/>
  <c r="O25" i="4"/>
  <c r="F15" i="4"/>
  <c r="T144" i="2"/>
  <c r="AE144" i="2" s="1"/>
  <c r="T94" i="2"/>
  <c r="AE94" i="2" s="1"/>
  <c r="I54" i="2"/>
  <c r="T104" i="2" s="1"/>
  <c r="AE104" i="2" s="1"/>
  <c r="N144" i="2"/>
  <c r="Y144" i="2" s="1"/>
  <c r="N94" i="2"/>
  <c r="Y94" i="2" s="1"/>
  <c r="C54" i="2"/>
  <c r="N104" i="2" s="1"/>
  <c r="Y104" i="2" s="1"/>
  <c r="U144" i="2" l="1"/>
  <c r="AF144" i="2" s="1"/>
  <c r="U94" i="2"/>
  <c r="AF94" i="2" s="1"/>
  <c r="M104" i="2"/>
  <c r="X104" i="2" s="1"/>
  <c r="J54" i="2"/>
  <c r="U104" i="2" s="1"/>
  <c r="AF104" i="2" s="1"/>
  <c r="G15" i="4"/>
  <c r="Z25" i="4"/>
  <c r="P25" i="4"/>
  <c r="U137" i="2"/>
  <c r="AF137" i="2" s="1"/>
  <c r="AA25" i="4" l="1"/>
  <c r="Q25" i="4"/>
  <c r="H15" i="4"/>
  <c r="I15" i="4" l="1"/>
  <c r="AB25" i="4"/>
  <c r="R25" i="4"/>
  <c r="L30" i="4" l="1"/>
  <c r="AC25" i="4"/>
  <c r="S25" i="4"/>
</calcChain>
</file>

<file path=xl/comments1.xml><?xml version="1.0" encoding="utf-8"?>
<comments xmlns="http://schemas.openxmlformats.org/spreadsheetml/2006/main">
  <authors>
    <author>Bob</author>
  </authors>
  <commentList>
    <comment ref="A71" authorId="0" shapeId="0">
      <text>
        <r>
          <rPr>
            <b/>
            <sz val="8"/>
            <color indexed="81"/>
            <rFont val="Tahoma"/>
            <family val="2"/>
          </rPr>
          <t>Ofgem:</t>
        </r>
        <r>
          <rPr>
            <sz val="8"/>
            <color indexed="81"/>
            <rFont val="Tahoma"/>
            <family val="2"/>
          </rPr>
          <t xml:space="preserve">
Any concentration level at any location in the building. Data to include all GIB instances including those reportable under RIDDOR</t>
        </r>
      </text>
    </comment>
  </commentList>
</comments>
</file>

<file path=xl/sharedStrings.xml><?xml version="1.0" encoding="utf-8"?>
<sst xmlns="http://schemas.openxmlformats.org/spreadsheetml/2006/main" count="1379" uniqueCount="422">
  <si>
    <t>2017/18</t>
  </si>
  <si>
    <t>2.2 Summary of totex costs</t>
  </si>
  <si>
    <t>Current year RRP submission - £m</t>
  </si>
  <si>
    <t>Actuals</t>
  </si>
  <si>
    <t>Current year actuals</t>
  </si>
  <si>
    <t>Forecast</t>
  </si>
  <si>
    <t xml:space="preserve"> Forecast RIIO Total</t>
  </si>
  <si>
    <t>Controllable costs by activity</t>
  </si>
  <si>
    <t>LTS, storage and entry</t>
  </si>
  <si>
    <t>Connections</t>
  </si>
  <si>
    <t>Mains Reinforcement</t>
  </si>
  <si>
    <t>Governors (Replacement)</t>
  </si>
  <si>
    <t>Other Capex</t>
  </si>
  <si>
    <t>of which IT</t>
  </si>
  <si>
    <t>of which Vehicles</t>
  </si>
  <si>
    <t xml:space="preserve">Total Capex </t>
  </si>
  <si>
    <t>HSE driven mains &amp; services</t>
  </si>
  <si>
    <t>Non-HSE driven mains &amp; services</t>
  </si>
  <si>
    <t>Risers</t>
  </si>
  <si>
    <t xml:space="preserve">Total Repex </t>
  </si>
  <si>
    <t>Work Management</t>
  </si>
  <si>
    <t>Emergency</t>
  </si>
  <si>
    <t>Repair</t>
  </si>
  <si>
    <t>Maintenance</t>
  </si>
  <si>
    <t>Statutory independent undertakings (SIUs)</t>
  </si>
  <si>
    <t>Other Direct Activities</t>
  </si>
  <si>
    <t>of which xoserve</t>
  </si>
  <si>
    <t>Total Direct Opex</t>
  </si>
  <si>
    <t>Business support</t>
  </si>
  <si>
    <t>Training &amp; Apprentices</t>
  </si>
  <si>
    <t>Total Indirect Opex</t>
  </si>
  <si>
    <t>Total Opex</t>
  </si>
  <si>
    <t>Of which total sub-deducts</t>
  </si>
  <si>
    <t>Total Controllable costs</t>
  </si>
  <si>
    <t>Non-Controllable costs</t>
  </si>
  <si>
    <t>Licence/network/other</t>
  </si>
  <si>
    <t>NTS exit costs</t>
  </si>
  <si>
    <t>Shrinkage</t>
  </si>
  <si>
    <t>NTS pensions contributions</t>
  </si>
  <si>
    <t>Total non-controllable costs</t>
  </si>
  <si>
    <t>Total funded costs - including uncertainties</t>
  </si>
  <si>
    <t>Of which:  uncertainties*:</t>
  </si>
  <si>
    <t>Smart metering</t>
  </si>
  <si>
    <t>Streetworks</t>
  </si>
  <si>
    <t>Physical Security Upgrade Programme (PSUP)</t>
  </si>
  <si>
    <t>Other</t>
  </si>
  <si>
    <t>Total uncertainties*</t>
  </si>
  <si>
    <t>Total funded costs - excluding uncertainties*</t>
  </si>
  <si>
    <t>Previous year RRP submission - £m</t>
  </si>
  <si>
    <t>Variance from previous year</t>
  </si>
  <si>
    <t>% Variance from previous year</t>
  </si>
  <si>
    <t>Multi occupancy buildings (MoBs)</t>
  </si>
  <si>
    <t>Total sub-deducts</t>
  </si>
  <si>
    <t>Final proposals adjusted with agreed uncertainties - £m</t>
  </si>
  <si>
    <t>Variance from final proposals adjusted with uncertainties</t>
  </si>
  <si>
    <t>% Variance from final proposals adjusted with uncertainties</t>
  </si>
  <si>
    <t>Ofgem Allowance (Post IQI) £m</t>
  </si>
  <si>
    <t>of which Xoserve</t>
  </si>
  <si>
    <t>Total funded costs - including agreed uncertainties**</t>
  </si>
  <si>
    <t>Final proposals - £m</t>
  </si>
  <si>
    <t>2009/10 prices</t>
  </si>
  <si>
    <t>Total funded costs</t>
  </si>
  <si>
    <t>Agreed Uncertainties** £m</t>
  </si>
  <si>
    <t>2009-10 prices</t>
  </si>
  <si>
    <t>Uncertainty</t>
  </si>
  <si>
    <t>RIIO Total</t>
  </si>
  <si>
    <t>PSUP</t>
  </si>
  <si>
    <t>SIUs</t>
  </si>
  <si>
    <t>Other - fuel poor</t>
  </si>
  <si>
    <t>Tier 2A adjustment</t>
  </si>
  <si>
    <t>Xoserve Capex</t>
  </si>
  <si>
    <t>Xoserve Opex</t>
  </si>
  <si>
    <t>Total</t>
  </si>
  <si>
    <t>Agreed uncertainties** by activity £m</t>
  </si>
  <si>
    <t>* These are uncertainties where a reopener has yet to be triggered and no decision on setting an allowance has been made.</t>
  </si>
  <si>
    <t>** Agreed uncertainties are where a reopener has been triggered and a decision has been made by Ofgem.</t>
  </si>
  <si>
    <t>2.3 Summary of workload</t>
  </si>
  <si>
    <t>Current year RRP submission 2018 - Workload</t>
  </si>
  <si>
    <t>Cost activity</t>
  </si>
  <si>
    <t>Opex</t>
  </si>
  <si>
    <t>Mains condition reports</t>
  </si>
  <si>
    <t>Number</t>
  </si>
  <si>
    <t>Service condition reports</t>
  </si>
  <si>
    <t> No. of holders removed</t>
  </si>
  <si>
    <t>Capex</t>
  </si>
  <si>
    <t>Total mains reinforcement</t>
  </si>
  <si>
    <t>km</t>
  </si>
  <si>
    <t>Total reinforcement Governors</t>
  </si>
  <si>
    <t>Total connection services</t>
  </si>
  <si>
    <t xml:space="preserve"> - New housing services</t>
  </si>
  <si>
    <t xml:space="preserve"> - Existing housing services</t>
  </si>
  <si>
    <t xml:space="preserve"> - Non- domestic services</t>
  </si>
  <si>
    <t xml:space="preserve"> - Fuel poor services </t>
  </si>
  <si>
    <t>Governor intervention</t>
  </si>
  <si>
    <t xml:space="preserve">Number </t>
  </si>
  <si>
    <t>Repex</t>
  </si>
  <si>
    <t>T1 length decommissioned</t>
  </si>
  <si>
    <t>T2 length decommissioned</t>
  </si>
  <si>
    <t>T3 length decommissioned</t>
  </si>
  <si>
    <t>Steel length decommissioned</t>
  </si>
  <si>
    <t>Other length decommissioned</t>
  </si>
  <si>
    <t>No. of services transferred</t>
  </si>
  <si>
    <t>No. of services relaid</t>
  </si>
  <si>
    <t xml:space="preserve">Previous year RRP submission </t>
  </si>
  <si>
    <t>Previous year forecast</t>
  </si>
  <si>
    <t>Units</t>
  </si>
  <si>
    <t>Final proposals</t>
  </si>
  <si>
    <t>Variance from final proposals</t>
  </si>
  <si>
    <t>% Variance from final proposals</t>
  </si>
  <si>
    <t xml:space="preserve">Workload </t>
  </si>
  <si>
    <t>2.4 Summary of safety outputs and secondary deliverables</t>
  </si>
  <si>
    <r>
      <t>Actual/forecast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 - Primary output</t>
    </r>
  </si>
  <si>
    <t>Mains risk b/f</t>
  </si>
  <si>
    <t>Mains risk reduction</t>
  </si>
  <si>
    <t>Main risk c/f</t>
  </si>
  <si>
    <t>Cumulative mains risk reduction</t>
  </si>
  <si>
    <r>
      <t>Previous year forecast iron mains risk reduction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</si>
  <si>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Final proposals allowed iron mains risk reduction for RIIO-GD1 (incidents/year x 10</t>
    </r>
    <r>
      <rPr>
        <b/>
        <vertAlign val="superscript"/>
        <sz val="10"/>
        <color theme="1"/>
        <rFont val="Verdana"/>
        <family val="2"/>
      </rPr>
      <t>-</t>
    </r>
    <r>
      <rPr>
        <b/>
        <vertAlign val="superscript"/>
        <sz val="8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</si>
  <si>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Actual/forecast repair risk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</si>
  <si>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2013 (start position)</t>
  </si>
  <si>
    <t>Annual repair risk</t>
  </si>
  <si>
    <t>Movement in risk</t>
  </si>
  <si>
    <r>
      <t>Previous year's forecast repair risK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</si>
  <si>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r>
      <t>Variance from previous year  (x10</t>
    </r>
    <r>
      <rPr>
        <b/>
        <vertAlign val="superscript"/>
        <sz val="10"/>
        <color theme="1"/>
        <rFont val="Verdana"/>
        <family val="2"/>
      </rPr>
      <t>6</t>
    </r>
    <r>
      <rPr>
        <b/>
        <sz val="10"/>
        <color theme="1"/>
        <rFont val="Verdana"/>
        <family val="2"/>
      </rPr>
      <t>)</t>
    </r>
  </si>
  <si>
    <t>Repair risk reduction</t>
  </si>
  <si>
    <t>Safety - Emergency response - Primary output</t>
  </si>
  <si>
    <t>Total PREs</t>
  </si>
  <si>
    <t xml:space="preserve">(1) Controllable </t>
  </si>
  <si>
    <t>Number of controlled gas escapes or controlled other gas emergencies reported</t>
  </si>
  <si>
    <t>Number of responses within timescale (2 hours)</t>
  </si>
  <si>
    <t>Percentage of controlled gas escapes responded to within timescale (2 hours)</t>
  </si>
  <si>
    <t>(2) Non-controllable</t>
  </si>
  <si>
    <t>Number of uncontrolled gas escapes or uncontrolled other gas emergencies reported</t>
  </si>
  <si>
    <t>Number of responses within timescale (1 hour)</t>
  </si>
  <si>
    <t>Percentage of uncontrolled gas escapes responded to within timescale (1 hour)</t>
  </si>
  <si>
    <t>Proportion of gas escapes prevented within 12 hrs (secondary deliverable)</t>
  </si>
  <si>
    <t>Gas in Buildings (GIB) events - Iron mains - Secondary deliverable</t>
  </si>
  <si>
    <t xml:space="preserve">GIB events reportable under RIDDOR ie GIB &gt;= 20% LEL or  &gt; 10kg from spun/cast iron fracture or DI corrosion of mains of: </t>
  </si>
  <si>
    <t xml:space="preserve">GIB events (any % level) from spun/cast iron fracture or DI corrosion of mains of: </t>
  </si>
  <si>
    <t>Cast/spun iron fractures and ductile iron corrosion failures - Secondary deliverable</t>
  </si>
  <si>
    <t xml:space="preserve">Number of spun/cast iron fracture or DI corrosion of mains of: </t>
  </si>
  <si>
    <t>Sub-deduct networks - secondary deliverable</t>
  </si>
  <si>
    <t>% off sub-deduct networks taken of risk</t>
  </si>
  <si>
    <t>Cumulative</t>
  </si>
  <si>
    <t>2.5 Summary of reliability outputs and secondary deliverables</t>
  </si>
  <si>
    <t>Summary of loss of supply volumes and duration - primary output</t>
  </si>
  <si>
    <t>Actual/forecast loss of supply volumes (no.)</t>
  </si>
  <si>
    <t>No. of planned interruptions</t>
  </si>
  <si>
    <t>No. of unplanned interruptions</t>
  </si>
  <si>
    <t>Total interruptions</t>
  </si>
  <si>
    <t>Previous year forecast loss of supply volumes (no.)</t>
  </si>
  <si>
    <t>Final proposals allowed loss of supply volumes (no.)</t>
  </si>
  <si>
    <t>Actual/forecast loss of supply duration (mins - million of)</t>
  </si>
  <si>
    <t>Dur. of planned interruptions</t>
  </si>
  <si>
    <t>Dur. of unplanned interruptions</t>
  </si>
  <si>
    <t>Previous year forecast loss of supply duration (mins - million of)</t>
  </si>
  <si>
    <t>Final proposals allowed loss of supply duration (mins - million of)</t>
  </si>
  <si>
    <t>Summary of telemetered faults - secondary deliverables</t>
  </si>
  <si>
    <t>Actual/forecast telemetered faults (fault * duration/no. of telemetered AGIs - "now faults" (hrs))</t>
  </si>
  <si>
    <t>Telemetered faults</t>
  </si>
  <si>
    <t>Previous year forecast telemetered faults (fault * duration/no. of telemetered AGIs - "now faults" (hrs))</t>
  </si>
  <si>
    <t>Final proposals allowed telemetered faults (fault * duration/no. of telemetered AGIs - "now faults" (hrs))</t>
  </si>
  <si>
    <t xml:space="preserve">Final proposals </t>
  </si>
  <si>
    <t>Summary of pressure systems safety regulations (PSSR) faults - secondary deliverables</t>
  </si>
  <si>
    <r>
      <t xml:space="preserve">Actual/forecast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</si>
  <si>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PSSR faults (% or No.)</t>
  </si>
  <si>
    <r>
      <t xml:space="preserve">Previous year forecast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</si>
  <si>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r>
      <t xml:space="preserve">Final proposals allowed PSSR faults (faults as a % of inspections - PSSR A1 and A2 faults or faults/No. of AGIs - PSSR A1 and A2 faults </t>
    </r>
    <r>
      <rPr>
        <b/>
        <i/>
        <sz val="10"/>
        <color theme="1"/>
        <rFont val="Verdana"/>
        <family val="2"/>
      </rPr>
      <t>(delete as appropriate)</t>
    </r>
    <r>
      <rPr>
        <b/>
        <sz val="10"/>
        <color theme="1"/>
        <rFont val="Verdana"/>
        <family val="2"/>
      </rPr>
      <t>)</t>
    </r>
  </si>
  <si>
    <t>Number and value of offtake meter error reports</t>
  </si>
  <si>
    <t>Volume of offtake meter errors (GWh)</t>
  </si>
  <si>
    <t>Throughput (GWh)</t>
  </si>
  <si>
    <t>Meter errors/throughput (%)</t>
  </si>
  <si>
    <t>Summary Capacity Utilisation</t>
  </si>
  <si>
    <t>Capacity utilisation</t>
  </si>
  <si>
    <t xml:space="preserve"> </t>
  </si>
  <si>
    <t>&lt;/= 50%</t>
  </si>
  <si>
    <t>&gt;50% to &lt;/=70%</t>
  </si>
  <si>
    <t>&gt;70% to &lt;/=80%</t>
  </si>
  <si>
    <t>&gt;80% to &lt;/=100%</t>
  </si>
  <si>
    <t>&gt;100%</t>
  </si>
  <si>
    <t>Total no. of sites</t>
  </si>
  <si>
    <t>2.6  Summary of environmental outputs - shrinkage and leakage volumes</t>
  </si>
  <si>
    <t>Actual/forecast shrinkage volumes (GWh)</t>
  </si>
  <si>
    <t>Shrinkage volumes at start of RIIO-GD1</t>
  </si>
  <si>
    <t>Shrinkage volume</t>
  </si>
  <si>
    <t>Shrinkage baselines</t>
  </si>
  <si>
    <t>Shrinkage volume reduction</t>
  </si>
  <si>
    <t>% shrinkage volume reduction</t>
  </si>
  <si>
    <t>Previous year forecast shrinkage volumes (GWh)</t>
  </si>
  <si>
    <t>Final proposals allowed shrinkage volumes (GWh)</t>
  </si>
  <si>
    <t>Actual/forecast leakage volumes (GWh)</t>
  </si>
  <si>
    <t>Leakage volumes at start of RIIO-GD1</t>
  </si>
  <si>
    <t>Leakage volume</t>
  </si>
  <si>
    <t>Leakage baselines</t>
  </si>
  <si>
    <t>Leakage volume reduction</t>
  </si>
  <si>
    <t>% Leakage volume reduction</t>
  </si>
  <si>
    <t>Previous year forecast leakage volumes (GWh)</t>
  </si>
  <si>
    <t>Final proposals allowed leakage volumes (GWh)</t>
  </si>
  <si>
    <t>8.3  Guaranteed Standards of Service</t>
  </si>
  <si>
    <t>Guaranteed Standard 1 - Regulation 7 - Supply Restoration</t>
  </si>
  <si>
    <t>Domestic</t>
  </si>
  <si>
    <t>Ex gratia</t>
  </si>
  <si>
    <t>Total number of domestic properties interrupted</t>
  </si>
  <si>
    <t>Number of customers' premises not restored within the prescribed period (Reg 7(2)(a))</t>
  </si>
  <si>
    <t>Number of customers' premises not restored within the prescribed period (Reg 7(2)(b))</t>
  </si>
  <si>
    <t>Number of payments made under Reg 7(2)(a)</t>
  </si>
  <si>
    <t>Value of payments made under Reg 7(2)(a)</t>
  </si>
  <si>
    <t>Number of payments made under Reg 7(2)(b)</t>
  </si>
  <si>
    <t>Value of payments made under Reg 7(2)(b)</t>
  </si>
  <si>
    <t>Number of times cap reached for payments under Reg 7(2)</t>
  </si>
  <si>
    <t>Total value of domestic payments made under Regulation 7</t>
  </si>
  <si>
    <t>Percentage of domestic customers restored within prescribed period</t>
  </si>
  <si>
    <t>Non Domestic</t>
  </si>
  <si>
    <t>Total number of non-domestic properties interrupted</t>
  </si>
  <si>
    <t>Total value of non-domestic payments made under Regulation 7</t>
  </si>
  <si>
    <t>Percentage of non-domestic customers restored within prescribed period</t>
  </si>
  <si>
    <t>Total value of domestic and non-domestic payments made under Regulation 7</t>
  </si>
  <si>
    <t xml:space="preserve">Percentage of domestic and non-domestic customers restored within prescribed period </t>
  </si>
  <si>
    <t>Guaranteed Standard 2 - Regulation 8 - Reinstatement of customer's premises</t>
  </si>
  <si>
    <t>Number of customers' premises due to be reinstated</t>
  </si>
  <si>
    <t>Number of customers' premises not reinstated within the prescribed period (Reg 8(2)(a))</t>
  </si>
  <si>
    <t>Number of customers' premises not reinstated within the prescribed period (Reg 8(2)(b))</t>
  </si>
  <si>
    <t>Number of payments made under Reg 8(2)(a)</t>
  </si>
  <si>
    <t>Value of payments made under Reg 8(2)(a)</t>
  </si>
  <si>
    <t>Number of payments made under Reg 8(2)(b)</t>
  </si>
  <si>
    <t>Value of payments made under Reg 8(2)(b)</t>
  </si>
  <si>
    <t>Total value of payments made under Regulation 8 to domestic customers</t>
  </si>
  <si>
    <t>Percentage of domestic customers' premises reinstated within prescribed period</t>
  </si>
  <si>
    <t>Total value of payments made under Regulation 8 to non-domestic customers</t>
  </si>
  <si>
    <t>Percentage of non-domestic customers' premises reinstated within prescribed period</t>
  </si>
  <si>
    <t xml:space="preserve">Total value of payments made under Regulation 8 </t>
  </si>
  <si>
    <t>Percentage of domestic and non-domestic customers' premises reinstated within prescribed period</t>
  </si>
  <si>
    <t>Guaranteed Standard 3 - Regulation 9 - Priority domestic customers</t>
  </si>
  <si>
    <t>Number of supply interruptions to priority domestic customers' premises (Reg 9(1))</t>
  </si>
  <si>
    <t>Planned interruptions</t>
  </si>
  <si>
    <t>Number of planned interruptions to priority domestic customers' premises (Reg 9(2)(a))</t>
  </si>
  <si>
    <t>Number of payments made under Reg 9(2)(a)</t>
  </si>
  <si>
    <t>Value of payments made under Reg 9(2)(a)</t>
  </si>
  <si>
    <t>Unplanned interruptions (less than 250 premises)</t>
  </si>
  <si>
    <t>Number of unplanned interruptions to priority domestic customers' premises where less than 250 customers' premises are affected (Reg 9(2)(b)(i))</t>
  </si>
  <si>
    <t>Number of payments made under Reg 9(2)(b)(i)</t>
  </si>
  <si>
    <t>Value of payments made under Reg 9(2)(b)(i)</t>
  </si>
  <si>
    <t>Unplanned interruptions (more than 250 premises)</t>
  </si>
  <si>
    <t>Number of unplanned interruptions to priority domestic customers' premises where 250 or more customers' premises are affected (Reg 9(2)(b)(ii))</t>
  </si>
  <si>
    <t>Number of payments made under Reg 9(2)(b)(ii)</t>
  </si>
  <si>
    <t>Value of payments made under Reg 9(2)(b)(ii)</t>
  </si>
  <si>
    <t xml:space="preserve">Total value of payments made under Regulation 9 </t>
  </si>
  <si>
    <t>Guaranteed Standard 4 - Regulation 10  - Provision of standard connection quotations =&lt;275kWh per hour</t>
  </si>
  <si>
    <t>Voluntary Scheme</t>
  </si>
  <si>
    <t>Ex gratia (including voluntary scheme)</t>
  </si>
  <si>
    <t>Number of requests for standard quote =&lt;275kWh per hour (Reg 10(1)(a))</t>
  </si>
  <si>
    <t>Number of standard quotations provided within prescribed period (Reg 10 (3) (a))</t>
  </si>
  <si>
    <t>Number of standard quotations not provided within prescribed period (Reg 10(3)(a))</t>
  </si>
  <si>
    <t>Number of payments made under Reg 10(3)(a)</t>
  </si>
  <si>
    <t>Number of times cap reached for payments under Reg 10(6)(b)(i)</t>
  </si>
  <si>
    <t>Value of payments made under Regulation 10(3)(a)</t>
  </si>
  <si>
    <t>Exclusions</t>
  </si>
  <si>
    <t xml:space="preserve">Number of excluded connections </t>
  </si>
  <si>
    <t xml:space="preserve">Number of complex connections </t>
  </si>
  <si>
    <t xml:space="preserve">Number of connections where customer failed to provide required information </t>
  </si>
  <si>
    <t xml:space="preserve">Number of customer requested deferrals </t>
  </si>
  <si>
    <t>Number of connections not covered by SI (connections &gt;7 bar gauge, domestic developments and non-domestic developments)</t>
  </si>
  <si>
    <t>Guaranteed Standard 5 - Regulation 10  - Provision of non-standard connection quotations =&lt;275kWh per hour</t>
  </si>
  <si>
    <t>Number of requests for non-standard quote =&lt;275kWh per hour (Reg 10(1)(a))</t>
  </si>
  <si>
    <t>Number of non-standard quotations provided within prescribed period (Reg 10(3)(b)(i))</t>
  </si>
  <si>
    <t>Number of non-standard quotations not provided within prescribed period (Reg 10(3)(b)(i))</t>
  </si>
  <si>
    <t>Number of payments made under Reg 10(3)(b)(i)</t>
  </si>
  <si>
    <t>Value of payments made under Regulation 10(3)(b)(i)</t>
  </si>
  <si>
    <t>Number of excluded connections</t>
  </si>
  <si>
    <t>Number of complex connections</t>
  </si>
  <si>
    <t>Number of connections where customer failed to provide required information</t>
  </si>
  <si>
    <t>Guaranteed Standard 6 - Regulation 10 - Provision of non-standard connection quotations &gt; 275kWh per hour</t>
  </si>
  <si>
    <t>Number of requests for non-standard quote &gt;275kWh per hour (Reg 10(1)(a))</t>
  </si>
  <si>
    <t>Number of non-standard quotations provided within prescribed period (Reg 10(3)(b)(ii))</t>
  </si>
  <si>
    <t>Number of non-standard quotations not provided within prescribed period (Reg 10(3)(b)(ii))</t>
  </si>
  <si>
    <t>Number of payments made under Reg 10(3)(b)(ii)</t>
  </si>
  <si>
    <t>Number of times cap reached for payments under Reg 10(6)(b)(ii)</t>
  </si>
  <si>
    <t>Value of payments made under Regulation 10 (3)(b)(ii)</t>
  </si>
  <si>
    <t>Guaranteed Standard 7 - Regulation 10  - Accuracy of quotations</t>
  </si>
  <si>
    <t>Number of quotations challenged under accuracy scheme (Reg 10(1)(b))</t>
  </si>
  <si>
    <t>Number of quotations found not to be accurate (Reg 10(3)(c))</t>
  </si>
  <si>
    <t>Number of refunds issued following accuracy scheme challenge</t>
  </si>
  <si>
    <t>Value of refunds issued under accuracy scheme (Reg 10 (3)(c))</t>
  </si>
  <si>
    <t>Guaranteed Standard 8 - Regulation 10 - Response to land enquiries</t>
  </si>
  <si>
    <t>Number of land enquiry requests received (Reg 10(1)(c))</t>
  </si>
  <si>
    <t>Number of land enquiry requests responded to within timescale (Reg 10(3)(d))</t>
  </si>
  <si>
    <t>Number of land enquiry requests not responded to within timescale (Reg 10(3)(d))</t>
  </si>
  <si>
    <t>Number of payments made under Reg 10(3)(d)</t>
  </si>
  <si>
    <t>Number of times cap reached for payments under Reg 10(6)(c)(i)(ii)</t>
  </si>
  <si>
    <t>Value of payments made under Regulation 10(3)(d)</t>
  </si>
  <si>
    <t>Guaranteed Standard 9 - Regulation 10  - Offering a date for commencement and substantial completion of connection works (=&lt;275kWh per hour)</t>
  </si>
  <si>
    <t>Voluntary</t>
  </si>
  <si>
    <t>Number of quotations accepted  (Reg 10(1)(d))</t>
  </si>
  <si>
    <t>Number where both dates offered within timescale (Reg 10(3)(e)(i))</t>
  </si>
  <si>
    <t>Number where at least one date not offered within timescale (Reg 10(3)(e)(i))</t>
  </si>
  <si>
    <t>Number of payments made under Reg 10(3)(e)(i)</t>
  </si>
  <si>
    <t>Number of times cap reached for payments under Reg 10(6)(d)(i)</t>
  </si>
  <si>
    <t>Value of payments made under Regulation 10(3)(e)(i)</t>
  </si>
  <si>
    <t>Guaranteed Standard 10 - Regulation 10 - Offering a date for commencement and substantial completion of connection works (&gt; 275kWh per hour)</t>
  </si>
  <si>
    <t>Number of quotations accepted (Reg 10(1)(d))</t>
  </si>
  <si>
    <t>Number where both dates offered within timescale (Reg 10(3)(e)(ii))</t>
  </si>
  <si>
    <t>Number where at least one date not offered within timescale (Reg 10(3)(e)(ii))</t>
  </si>
  <si>
    <t>Number of payments made under Reg 10(3)(e)(ii)</t>
  </si>
  <si>
    <t>Number of times cap reached for payments under Reg 10(6)(d)(ii)</t>
  </si>
  <si>
    <t>Value of payments made under Regulation 10(3)(e)(ii)</t>
  </si>
  <si>
    <t xml:space="preserve">Guaranteed Standard 11 - Regulation 10 - Substantial completion on agreed date </t>
  </si>
  <si>
    <t>Quotation value up to and including £1,000</t>
  </si>
  <si>
    <t>Number substantially completed within timescale agreed with customer (Reg 10(3)(f)(i))</t>
  </si>
  <si>
    <t>Number not substantially completed within timescale agreed with customer (Reg 10(3)(f)(i))</t>
  </si>
  <si>
    <t>Number of payments made under Reg 10(3)(f)(i)</t>
  </si>
  <si>
    <t>Number of times cap reached for payments under Reg 10(6)(e)</t>
  </si>
  <si>
    <t>Value of payments made under Regulation 10(3)(f)(i)</t>
  </si>
  <si>
    <t>Quotation value over £1,000 but not exceeding £4,000</t>
  </si>
  <si>
    <t>Number substantially completed within timescale agreed with customer (Reg 10(3)(f)(ii))</t>
  </si>
  <si>
    <t>Number not substantially completed within timescale agreed with customer (Reg 10(3)(f)(ii))</t>
  </si>
  <si>
    <t>Number of payments made under Reg 10(3)(f)(ii)</t>
  </si>
  <si>
    <t>Number of times cap reached for payments under Reg 10(6)(f)</t>
  </si>
  <si>
    <t>Value of payments made under Regulation 10(3)(f)(ii)</t>
  </si>
  <si>
    <t>Quotation value over £4,000 but not exceeding £20,000</t>
  </si>
  <si>
    <t>Number substantially completed within timescale agreed with customer (Reg 10(3)(f)(iii))</t>
  </si>
  <si>
    <t>Number not substantially completed within timescale agreed with customer (Reg 10(3)(f)(iii))</t>
  </si>
  <si>
    <t>Number of payments made under Reg 10(3)(f)(iii)</t>
  </si>
  <si>
    <t>Value of payments made under Regulation 10(3)(f)(iii)</t>
  </si>
  <si>
    <t>Quotation value above £20,000 but not exceeding £50,000</t>
  </si>
  <si>
    <t>Number substantially completed within timescale agreed with customer (Reg 10(3)(f)(iv))</t>
  </si>
  <si>
    <t>Number not substantially completed within timescale agreed with customer (Reg 10(3)(f)(iv))</t>
  </si>
  <si>
    <t>Number of payments made under Reg 10(3)(f)(iv)</t>
  </si>
  <si>
    <t>Number of times cap reached for payments under Reg 10(6)(g)</t>
  </si>
  <si>
    <t>Value of payments made under Regulation 10(3)(f)(iv)</t>
  </si>
  <si>
    <t>Quotation value above £50,000 but not exceeding £100,000</t>
  </si>
  <si>
    <t>Number substantially completed within timescale agreed with customer (Reg 10)(3)(f)(v))</t>
  </si>
  <si>
    <t>Number not substantially completed within timescale agreed with customer (Reg 10(3)(f)(v)</t>
  </si>
  <si>
    <t>Number of payments made under Reg 10(3)(f)(v)</t>
  </si>
  <si>
    <t>Number of times cap reached for payments under Reg 10(6)(h)</t>
  </si>
  <si>
    <t>Value of payments made under Regulation 10(3)(f)(v)</t>
  </si>
  <si>
    <t>Total Amount</t>
  </si>
  <si>
    <t>Total number of substantially completed quotations</t>
  </si>
  <si>
    <t>Total number substantially completed within agreed timescale</t>
  </si>
  <si>
    <t>Total number not substantially completed within agreed timescale (Reg 10(3)(f)</t>
  </si>
  <si>
    <t>Total number of payments made (Reg 10(3)(f))</t>
  </si>
  <si>
    <t>Total number of times cap reached for payments (Reg 10(6)(e) - (h))</t>
  </si>
  <si>
    <t>Total value of payments made (Regulation 10(3)(f))</t>
  </si>
  <si>
    <t>Guaranteed Standard  13 - Regulation 10A - Notification of planned supply interruptions</t>
  </si>
  <si>
    <t>Number of customers whose gas supply was interrupted for planned maintenance or replacement work</t>
  </si>
  <si>
    <t>Number of customers that did not receive prior notice of not less than prescribed period (Reg 10A(2))</t>
  </si>
  <si>
    <t>Number of payments made under Reg 10A(2)</t>
  </si>
  <si>
    <t>Value of payments made under Reg 10A(2)</t>
  </si>
  <si>
    <t>Percentage of domestic customers that received prior notice for planned supply interruption</t>
  </si>
  <si>
    <t>Percentage of non-domestic customers that received prior notice for planned supply interruption</t>
  </si>
  <si>
    <t>Total value of payments made under Reg 10A</t>
  </si>
  <si>
    <t>Percentage of domestic and non-domestic customers that received prior notice for planned supply interruption</t>
  </si>
  <si>
    <t>Guaranteed Standard  14 - Regulation 10B -  Response to complaints</t>
  </si>
  <si>
    <t>Total number of written and oral complaints received requiring a response</t>
  </si>
  <si>
    <t>Number of customers that did not receive a response within the prescribed period (Reg 10B(2))</t>
  </si>
  <si>
    <t>Number of payments made under Reg 10B(2)</t>
  </si>
  <si>
    <t>Number of times cap reached for payments under Reg 10B(4)(e)</t>
  </si>
  <si>
    <t>Total value of payments made under Reg 10B</t>
  </si>
  <si>
    <t>Percentage of customers that received a complaint response within prescribed period</t>
  </si>
  <si>
    <t>Guaranteed Standard 12 - Regulation 12 - Payments</t>
  </si>
  <si>
    <t>% outside the 20 day prescribed payment period</t>
  </si>
  <si>
    <t>Number of payments due under Reg 12</t>
  </si>
  <si>
    <t>Value of payments due under Reg 12</t>
  </si>
  <si>
    <t>Number of payments made under Regulation 12 to domestic customers</t>
  </si>
  <si>
    <t>Value of payments made under Regulation 12 to domestic customers</t>
  </si>
  <si>
    <t>Percentage of payments due to domestic customers that were made</t>
  </si>
  <si>
    <t>Number of payments made under Regulation 12 to non-domestic customers</t>
  </si>
  <si>
    <t>Value of payments made under Regulation 12 to non-domestic customers</t>
  </si>
  <si>
    <t>Percentage of payments due to non-domestic customers that were made</t>
  </si>
  <si>
    <t>Value of payments made under Reg 12</t>
  </si>
  <si>
    <t>Percentage of payments due to domestic and non-domestic customers that were made</t>
  </si>
  <si>
    <t>Payments under Guaranteed Standards</t>
  </si>
  <si>
    <t>Total value of payments</t>
  </si>
  <si>
    <t xml:space="preserve">8.4 Licence Condition D10 </t>
  </si>
  <si>
    <t>Standard Special Condition D10(2)(a)  Provision of standard connection quotations =&lt;275 kWh per hour</t>
  </si>
  <si>
    <t>Annual</t>
  </si>
  <si>
    <t>Number of requests for standard quotation =&lt;275kWh per hour (Standard Special Condition D10 (1)(a))</t>
  </si>
  <si>
    <t>Number of standard quotations provided within timescale (Standard Special Condition D10 (2)(a))</t>
  </si>
  <si>
    <t>Percentage of standard quotations provided within timescale (Standard Special Condition D10 (2)(a))</t>
  </si>
  <si>
    <t>Number of standard quotations not provided within timescale (Standard Special Condition D10 (2)(a)</t>
  </si>
  <si>
    <t>Percentage of standard quotations not provided within timescale (Standard Special Condition D10 (2)(a))</t>
  </si>
  <si>
    <t>Standard Special Condition D10(2)(b)(i)  Provision of non-standard connection quotations =&lt;275kWh per hour</t>
  </si>
  <si>
    <t>Number of requests for non-standard quotation =&lt;275kWh per hour (Standard Special Condition D10 (1)(a))</t>
  </si>
  <si>
    <t>Number of non-standard quotations provided within timescale (Standard Special Condition D10 (2)(b)(i))</t>
  </si>
  <si>
    <t>Percentage of non-standard quotations provided within timescale (Standard Special Condition D10 (2)(b)(i))</t>
  </si>
  <si>
    <t>Number of non-standard quotations not provided within timescale (Standard Special Condition D10 (2)(b)(i))</t>
  </si>
  <si>
    <t>Percentage of non-standard quotations not provided within timescale (Standard Special Condition D10 (2)(b)(i))</t>
  </si>
  <si>
    <t>Standard Special Condition D10(2)(b)(ii)  Provision of non-standard connections quotations &gt;275kWh per hour</t>
  </si>
  <si>
    <t>Number of requests for non-standard quotation &gt;275kWh per hour (Standard Special Condition D10 (1)(a))</t>
  </si>
  <si>
    <t>Number of non-standard quotations provided within timescale (Standard Special Condition D10 (2)(b)(ii))</t>
  </si>
  <si>
    <t>Percentage of non-standard quotations provided within timescale (Standard Special Condition D10 (2)(b)(ii))</t>
  </si>
  <si>
    <t>Number of non-standard quotations not provided within timescale (Standard Special Condition D10 (2)(b)(ii))</t>
  </si>
  <si>
    <t>Percentage of non-standard quotations not provided within timescale (Standard Special Condition D10 (2)(b)(ii))</t>
  </si>
  <si>
    <t>Standard Special Condition D10(3) Accuracy of quotations</t>
  </si>
  <si>
    <t>Number of quotations challenged under accuracy scheme (Standard Special Condition D10 (3)</t>
  </si>
  <si>
    <t>Number of quotations found not to be accurate (Standard Special Condition D10 (3))</t>
  </si>
  <si>
    <t>Number of refunds issued following accuracy scheme challenge (Standard Special Condition D10 (3))</t>
  </si>
  <si>
    <t>Total value of refunds issued following accuracy scheme challenge (Standard Special Condition D10 (3))</t>
  </si>
  <si>
    <t>Standard Special Condition D10(2)(d) Response to land enquiries</t>
  </si>
  <si>
    <t>Number of land enquiry requests received (Standard Special Condition D10 (1)(c))</t>
  </si>
  <si>
    <t>Number of land enquiry requests responded to within timescale (Standard Special Condition D10 (2)(d))</t>
  </si>
  <si>
    <t>Percentage of land enquiry requests responded to within timescale (Standard Special Condition D10 (2)(d))</t>
  </si>
  <si>
    <t>Number of land enquiry requests not responded to within timescale (Standard Special Condition D10 (2)(d))</t>
  </si>
  <si>
    <t>Percentage of land enquiry requests not responded to within timescale (Standard Special Condition D10 (2)(d))</t>
  </si>
  <si>
    <t xml:space="preserve">Standard Special Condition D10(2)(e) Provision of a date for commencement and substantial completion </t>
  </si>
  <si>
    <t>Number of quotations accepted</t>
  </si>
  <si>
    <t>Number where both dates offered within timescale (Standard Special Condition D10 (2)(e))</t>
  </si>
  <si>
    <t>Percentage where both dates provided within timescale (Standard Special Condition D10 (2)(e))</t>
  </si>
  <si>
    <t>Number where at least one date not offered within timescale (Standard Special Condition D10 (2)(e))</t>
  </si>
  <si>
    <t>Percentage where at least one date not offered within timescale (Standard Special Condition D10 (2)(e))</t>
  </si>
  <si>
    <t>Standard Special Condition D10(2)(c)  Substantial completion of works within timescales agreed with the customer.</t>
  </si>
  <si>
    <t>Total number of projects completed</t>
  </si>
  <si>
    <t>Number substantially completed within timescale agreed with customer (Standard Special Condition D10 (2)(c))</t>
  </si>
  <si>
    <t>Percentage substantially completed within timescale agreed with customer (Standard Special Condition D10 (2)(c))</t>
  </si>
  <si>
    <t>Number not substantially completed within timescale agreed with customer (Standard Special Condition D10 (2)(c))</t>
  </si>
  <si>
    <t>Percentage not substantially completed within timescale agreed with customer (Standard Special Condition D10 (2)(c))</t>
  </si>
  <si>
    <t>Standard Special Condition D10(2)(f) Responding to telephone calls</t>
  </si>
  <si>
    <t>Total calls received on specified numbers</t>
  </si>
  <si>
    <t>Total calls answered within timescale</t>
  </si>
  <si>
    <t>Percentage of telephone calls answered within timescale</t>
  </si>
  <si>
    <t>c. 0-1</t>
  </si>
  <si>
    <t>Regulatory Reporting Pack</t>
  </si>
  <si>
    <t>Wales &amp; West Utilities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</si>
</sst>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0.0"/>
    <numFmt numFmtId="165" formatCode="_(* #,##0.00_);_(* \(#,##0.00\);_(* &quot;-&quot;??_);_(@_)"/>
    <numFmt numFmtId="166" formatCode="_-* #,##0.0_-;\-* #,##0.0_-;_-* &quot;-&quot;??_-;_-@_-"/>
    <numFmt numFmtId="167" formatCode="#,##0.0"/>
    <numFmt numFmtId="168" formatCode="#,##0.0;[Red]\(#,##0.0\)"/>
    <numFmt numFmtId="169" formatCode="_-* #,##0.000_-;\-* #,##0.000_-;_-* &quot;-&quot;??_-;_-@_-"/>
    <numFmt numFmtId="170" formatCode="0.0%"/>
    <numFmt numFmtId="171" formatCode="#,##0.00;[Red]\(#,##0.00\)"/>
    <numFmt numFmtId="172" formatCode="#,##0.0%\);[Red]\(#,##0.0%\);\-"/>
    <numFmt numFmtId="173" formatCode="#,##0.000;[Red]#,##0.000"/>
    <numFmt numFmtId="174" formatCode="_-* #,##0_-;\-* #,##0_-;_-* &quot;-&quot;??_-;_-@_-"/>
    <numFmt numFmtId="175" formatCode="_(* #,##0.000_);_(* \(#,##0.000\);_(* &quot;-&quot;??_);_(@_)"/>
    <numFmt numFmtId="176" formatCode="_(* #,##0.0_);_(* \(#,##0.0\);_(* &quot;-&quot;??_);_(@_)"/>
    <numFmt numFmtId="177" formatCode="#,##0;[Red]\(#,##0\);\-"/>
    <numFmt numFmtId="178" formatCode="#,##0.000;[Red]\(#,##0.000\);\-"/>
    <numFmt numFmtId="179" formatCode="#,##0_);[Red]\(#,##0\);\-"/>
    <numFmt numFmtId="180" formatCode="_(* #,##0_);_(* \(#,##0\);_(* &quot;-&quot;??_);_(@_)"/>
    <numFmt numFmtId="181" formatCode="#,##0.000;\(#,##0.000\)"/>
    <numFmt numFmtId="182" formatCode="#,##0;[Red]\(#,##0\)"/>
    <numFmt numFmtId="183" formatCode="&quot;£&quot;#,##0.00"/>
    <numFmt numFmtId="184" formatCode="&quot;£&quot;#,##0.00_);[Red]\(&quot;£&quot;#,##0.00\)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G Omega"/>
      <family val="2"/>
    </font>
    <font>
      <b/>
      <sz val="16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2"/>
      <color rgb="FFFF0000"/>
      <name val="Verdana"/>
      <family val="2"/>
    </font>
    <font>
      <b/>
      <i/>
      <sz val="10"/>
      <name val="Verdana"/>
      <family val="2"/>
    </font>
    <font>
      <b/>
      <i/>
      <sz val="10"/>
      <color theme="1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b/>
      <u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2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b/>
      <vertAlign val="superscript"/>
      <sz val="8"/>
      <color theme="1"/>
      <name val="Verdana"/>
      <family val="2"/>
    </font>
    <font>
      <vertAlign val="subscript"/>
      <sz val="10"/>
      <name val="Verdana"/>
      <family val="2"/>
    </font>
    <font>
      <b/>
      <sz val="10"/>
      <color rgb="FF0070C0"/>
      <name val="Verdana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color theme="10"/>
      <name val="Arial"/>
      <family val="2"/>
    </font>
    <font>
      <sz val="10"/>
      <name val="CG Omega"/>
      <family val="2"/>
    </font>
    <font>
      <i/>
      <sz val="10"/>
      <color rgb="FFFF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0" fontId="7" fillId="0" borderId="0"/>
    <xf numFmtId="0" fontId="1" fillId="0" borderId="0"/>
    <xf numFmtId="0" fontId="5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3" fillId="0" borderId="0"/>
    <xf numFmtId="9" fontId="5" fillId="0" borderId="0" applyFont="0" applyFill="0" applyBorder="0" applyAlignment="0" applyProtection="0"/>
    <xf numFmtId="0" fontId="11" fillId="0" borderId="0"/>
    <xf numFmtId="0" fontId="3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3" fillId="0" borderId="0"/>
  </cellStyleXfs>
  <cellXfs count="674">
    <xf numFmtId="0" fontId="0" fillId="0" borderId="0" xfId="0"/>
    <xf numFmtId="0" fontId="10" fillId="0" borderId="0" xfId="3" applyFont="1"/>
    <xf numFmtId="166" fontId="7" fillId="4" borderId="1" xfId="5" applyNumberFormat="1" applyFont="1" applyFill="1" applyBorder="1"/>
    <xf numFmtId="166" fontId="8" fillId="3" borderId="1" xfId="5" applyNumberFormat="1" applyFont="1" applyFill="1" applyBorder="1"/>
    <xf numFmtId="164" fontId="12" fillId="2" borderId="0" xfId="2" applyNumberFormat="1" applyFont="1" applyFill="1" applyBorder="1"/>
    <xf numFmtId="0" fontId="13" fillId="2" borderId="0" xfId="2" applyFont="1" applyFill="1" applyBorder="1"/>
    <xf numFmtId="0" fontId="5" fillId="0" borderId="0" xfId="3"/>
    <xf numFmtId="0" fontId="7" fillId="0" borderId="0" xfId="0" applyFont="1"/>
    <xf numFmtId="0" fontId="9" fillId="0" borderId="0" xfId="0" applyFont="1"/>
    <xf numFmtId="0" fontId="8" fillId="0" borderId="0" xfId="0" applyFont="1"/>
    <xf numFmtId="0" fontId="14" fillId="0" borderId="2" xfId="0" applyFont="1" applyFill="1" applyBorder="1"/>
    <xf numFmtId="0" fontId="7" fillId="0" borderId="6" xfId="0" applyFont="1" applyFill="1" applyBorder="1"/>
    <xf numFmtId="0" fontId="9" fillId="0" borderId="6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vertical="top"/>
    </xf>
    <xf numFmtId="166" fontId="8" fillId="3" borderId="3" xfId="0" applyNumberFormat="1" applyFont="1" applyFill="1" applyBorder="1" applyAlignment="1">
      <alignment vertical="top"/>
    </xf>
    <xf numFmtId="166" fontId="7" fillId="4" borderId="2" xfId="5" applyNumberFormat="1" applyFont="1" applyFill="1" applyBorder="1"/>
    <xf numFmtId="166" fontId="7" fillId="3" borderId="5" xfId="0" applyNumberFormat="1" applyFont="1" applyFill="1" applyBorder="1" applyAlignment="1">
      <alignment vertical="top"/>
    </xf>
    <xf numFmtId="166" fontId="8" fillId="3" borderId="12" xfId="0" applyNumberFormat="1" applyFont="1" applyFill="1" applyBorder="1" applyAlignment="1">
      <alignment vertical="top"/>
    </xf>
    <xf numFmtId="166" fontId="7" fillId="4" borderId="6" xfId="5" applyNumberFormat="1" applyFont="1" applyFill="1" applyBorder="1"/>
    <xf numFmtId="166" fontId="7" fillId="3" borderId="11" xfId="0" applyNumberFormat="1" applyFont="1" applyFill="1" applyBorder="1" applyAlignment="1">
      <alignment vertical="top"/>
    </xf>
    <xf numFmtId="168" fontId="7" fillId="0" borderId="6" xfId="0" applyNumberFormat="1" applyFont="1" applyFill="1" applyBorder="1" applyAlignment="1">
      <alignment horizontal="left" vertical="top" indent="1"/>
    </xf>
    <xf numFmtId="166" fontId="15" fillId="3" borderId="12" xfId="0" applyNumberFormat="1" applyFont="1" applyFill="1" applyBorder="1" applyAlignment="1">
      <alignment vertical="top"/>
    </xf>
    <xf numFmtId="166" fontId="16" fillId="3" borderId="11" xfId="0" applyNumberFormat="1" applyFont="1" applyFill="1" applyBorder="1" applyAlignment="1">
      <alignment vertical="top"/>
    </xf>
    <xf numFmtId="167" fontId="8" fillId="0" borderId="1" xfId="0" applyNumberFormat="1" applyFont="1" applyFill="1" applyBorder="1" applyAlignment="1">
      <alignment vertical="top"/>
    </xf>
    <xf numFmtId="166" fontId="8" fillId="3" borderId="1" xfId="0" applyNumberFormat="1" applyFont="1" applyFill="1" applyBorder="1" applyAlignment="1">
      <alignment vertical="top"/>
    </xf>
    <xf numFmtId="166" fontId="8" fillId="3" borderId="5" xfId="0" applyNumberFormat="1" applyFont="1" applyFill="1" applyBorder="1" applyAlignment="1">
      <alignment vertical="top"/>
    </xf>
    <xf numFmtId="166" fontId="8" fillId="3" borderId="11" xfId="0" applyNumberFormat="1" applyFont="1" applyFill="1" applyBorder="1" applyAlignment="1">
      <alignment vertical="top"/>
    </xf>
    <xf numFmtId="166" fontId="8" fillId="3" borderId="7" xfId="0" applyNumberFormat="1" applyFont="1" applyFill="1" applyBorder="1" applyAlignment="1">
      <alignment vertical="top"/>
    </xf>
    <xf numFmtId="166" fontId="8" fillId="3" borderId="9" xfId="0" applyNumberFormat="1" applyFont="1" applyFill="1" applyBorder="1" applyAlignment="1">
      <alignment vertical="top"/>
    </xf>
    <xf numFmtId="0" fontId="17" fillId="0" borderId="0" xfId="0" applyFont="1"/>
    <xf numFmtId="168" fontId="7" fillId="0" borderId="6" xfId="0" applyNumberFormat="1" applyFont="1" applyFill="1" applyBorder="1" applyAlignment="1">
      <alignment vertical="top"/>
    </xf>
    <xf numFmtId="166" fontId="8" fillId="3" borderId="6" xfId="0" applyNumberFormat="1" applyFont="1" applyFill="1" applyBorder="1" applyAlignment="1">
      <alignment vertical="top"/>
    </xf>
    <xf numFmtId="166" fontId="7" fillId="3" borderId="6" xfId="0" applyNumberFormat="1" applyFont="1" applyFill="1" applyBorder="1" applyAlignment="1">
      <alignment vertical="top"/>
    </xf>
    <xf numFmtId="166" fontId="16" fillId="3" borderId="6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166" fontId="8" fillId="3" borderId="1" xfId="0" applyNumberFormat="1" applyFont="1" applyFill="1" applyBorder="1" applyAlignment="1">
      <alignment vertical="top" wrapText="1"/>
    </xf>
    <xf numFmtId="166" fontId="8" fillId="3" borderId="12" xfId="6" applyNumberFormat="1" applyFont="1" applyFill="1" applyBorder="1" applyAlignment="1">
      <alignment vertical="top"/>
    </xf>
    <xf numFmtId="166" fontId="7" fillId="3" borderId="6" xfId="6" applyNumberFormat="1" applyFont="1" applyFill="1" applyBorder="1" applyAlignment="1">
      <alignment vertical="top"/>
    </xf>
    <xf numFmtId="0" fontId="7" fillId="0" borderId="6" xfId="6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vertical="top" wrapText="1"/>
    </xf>
    <xf numFmtId="166" fontId="18" fillId="3" borderId="2" xfId="0" applyNumberFormat="1" applyFont="1" applyFill="1" applyBorder="1" applyAlignment="1">
      <alignment vertical="top" wrapText="1"/>
    </xf>
    <xf numFmtId="0" fontId="9" fillId="0" borderId="2" xfId="0" applyFont="1" applyFill="1" applyBorder="1"/>
    <xf numFmtId="166" fontId="9" fillId="3" borderId="2" xfId="0" applyNumberFormat="1" applyFont="1" applyFill="1" applyBorder="1"/>
    <xf numFmtId="167" fontId="8" fillId="0" borderId="13" xfId="0" applyNumberFormat="1" applyFont="1" applyFill="1" applyBorder="1" applyAlignment="1">
      <alignment vertical="top"/>
    </xf>
    <xf numFmtId="168" fontId="8" fillId="0" borderId="14" xfId="0" applyNumberFormat="1" applyFont="1" applyFill="1" applyBorder="1"/>
    <xf numFmtId="168" fontId="8" fillId="3" borderId="15" xfId="0" applyNumberFormat="1" applyFont="1" applyFill="1" applyBorder="1"/>
    <xf numFmtId="168" fontId="7" fillId="0" borderId="0" xfId="0" applyNumberFormat="1" applyFont="1"/>
    <xf numFmtId="166" fontId="7" fillId="3" borderId="6" xfId="5" applyNumberFormat="1" applyFont="1" applyFill="1" applyBorder="1" applyAlignment="1">
      <alignment vertical="top"/>
    </xf>
    <xf numFmtId="168" fontId="7" fillId="0" borderId="10" xfId="0" applyNumberFormat="1" applyFont="1" applyFill="1" applyBorder="1" applyAlignment="1">
      <alignment vertical="top"/>
    </xf>
    <xf numFmtId="166" fontId="7" fillId="3" borderId="10" xfId="5" applyNumberFormat="1" applyFont="1" applyFill="1" applyBorder="1" applyAlignment="1">
      <alignment vertical="top"/>
    </xf>
    <xf numFmtId="0" fontId="9" fillId="0" borderId="1" xfId="0" applyFont="1" applyFill="1" applyBorder="1" applyAlignment="1">
      <alignment wrapText="1"/>
    </xf>
    <xf numFmtId="168" fontId="8" fillId="3" borderId="1" xfId="0" applyNumberFormat="1" applyFont="1" applyFill="1" applyBorder="1"/>
    <xf numFmtId="168" fontId="8" fillId="3" borderId="10" xfId="0" applyNumberFormat="1" applyFont="1" applyFill="1" applyBorder="1"/>
    <xf numFmtId="168" fontId="8" fillId="0" borderId="0" xfId="0" applyNumberFormat="1" applyFont="1"/>
    <xf numFmtId="0" fontId="8" fillId="0" borderId="13" xfId="0" applyFont="1" applyBorder="1"/>
    <xf numFmtId="168" fontId="18" fillId="0" borderId="14" xfId="0" applyNumberFormat="1" applyFont="1" applyBorder="1"/>
    <xf numFmtId="168" fontId="7" fillId="0" borderId="14" xfId="0" applyNumberFormat="1" applyFont="1" applyBorder="1"/>
    <xf numFmtId="168" fontId="7" fillId="0" borderId="15" xfId="0" applyNumberFormat="1" applyFont="1" applyBorder="1"/>
    <xf numFmtId="167" fontId="7" fillId="0" borderId="12" xfId="0" applyNumberFormat="1" applyFont="1" applyFill="1" applyBorder="1" applyAlignment="1">
      <alignment vertical="top"/>
    </xf>
    <xf numFmtId="168" fontId="8" fillId="3" borderId="6" xfId="0" applyNumberFormat="1" applyFont="1" applyFill="1" applyBorder="1" applyAlignment="1">
      <alignment vertical="top"/>
    </xf>
    <xf numFmtId="168" fontId="8" fillId="3" borderId="2" xfId="0" applyNumberFormat="1" applyFont="1" applyFill="1" applyBorder="1" applyAlignment="1">
      <alignment vertical="top"/>
    </xf>
    <xf numFmtId="166" fontId="7" fillId="3" borderId="6" xfId="5" applyNumberFormat="1" applyFont="1" applyFill="1" applyBorder="1"/>
    <xf numFmtId="167" fontId="8" fillId="0" borderId="10" xfId="0" applyNumberFormat="1" applyFont="1" applyFill="1" applyBorder="1" applyAlignment="1">
      <alignment vertical="top"/>
    </xf>
    <xf numFmtId="167" fontId="18" fillId="0" borderId="10" xfId="0" applyNumberFormat="1" applyFont="1" applyFill="1" applyBorder="1" applyAlignment="1">
      <alignment vertical="top"/>
    </xf>
    <xf numFmtId="168" fontId="18" fillId="0" borderId="15" xfId="0" applyNumberFormat="1" applyFont="1" applyFill="1" applyBorder="1"/>
    <xf numFmtId="168" fontId="18" fillId="0" borderId="1" xfId="0" applyNumberFormat="1" applyFont="1" applyFill="1" applyBorder="1"/>
    <xf numFmtId="168" fontId="19" fillId="0" borderId="1" xfId="0" applyNumberFormat="1" applyFont="1" applyFill="1" applyBorder="1"/>
    <xf numFmtId="168" fontId="7" fillId="0" borderId="0" xfId="0" applyNumberFormat="1" applyFont="1" applyFill="1"/>
    <xf numFmtId="0" fontId="7" fillId="0" borderId="0" xfId="0" applyFont="1" applyFill="1"/>
    <xf numFmtId="166" fontId="9" fillId="3" borderId="1" xfId="0" applyNumberFormat="1" applyFont="1" applyFill="1" applyBorder="1"/>
    <xf numFmtId="168" fontId="9" fillId="0" borderId="0" xfId="0" applyNumberFormat="1" applyFont="1"/>
    <xf numFmtId="0" fontId="9" fillId="3" borderId="5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wrapText="1"/>
    </xf>
    <xf numFmtId="166" fontId="7" fillId="3" borderId="2" xfId="5" applyNumberFormat="1" applyFont="1" applyFill="1" applyBorder="1"/>
    <xf numFmtId="166" fontId="7" fillId="3" borderId="5" xfId="5" applyNumberFormat="1" applyFont="1" applyFill="1" applyBorder="1"/>
    <xf numFmtId="169" fontId="8" fillId="3" borderId="3" xfId="0" applyNumberFormat="1" applyFont="1" applyFill="1" applyBorder="1" applyAlignment="1">
      <alignment vertical="top"/>
    </xf>
    <xf numFmtId="170" fontId="8" fillId="3" borderId="3" xfId="1" applyNumberFormat="1" applyFont="1" applyFill="1" applyBorder="1" applyAlignment="1">
      <alignment vertical="top"/>
    </xf>
    <xf numFmtId="170" fontId="7" fillId="3" borderId="2" xfId="1" applyNumberFormat="1" applyFont="1" applyFill="1" applyBorder="1"/>
    <xf numFmtId="170" fontId="7" fillId="3" borderId="5" xfId="1" applyNumberFormat="1" applyFont="1" applyFill="1" applyBorder="1"/>
    <xf numFmtId="170" fontId="7" fillId="3" borderId="5" xfId="1" applyNumberFormat="1" applyFont="1" applyFill="1" applyBorder="1" applyAlignment="1">
      <alignment vertical="top"/>
    </xf>
    <xf numFmtId="166" fontId="7" fillId="3" borderId="11" xfId="5" applyNumberFormat="1" applyFont="1" applyFill="1" applyBorder="1"/>
    <xf numFmtId="169" fontId="8" fillId="3" borderId="12" xfId="0" applyNumberFormat="1" applyFont="1" applyFill="1" applyBorder="1" applyAlignment="1">
      <alignment vertical="top"/>
    </xf>
    <xf numFmtId="170" fontId="8" fillId="3" borderId="12" xfId="1" applyNumberFormat="1" applyFont="1" applyFill="1" applyBorder="1" applyAlignment="1">
      <alignment vertical="top"/>
    </xf>
    <xf numFmtId="170" fontId="7" fillId="3" borderId="6" xfId="1" applyNumberFormat="1" applyFont="1" applyFill="1" applyBorder="1"/>
    <xf numFmtId="170" fontId="7" fillId="3" borderId="11" xfId="1" applyNumberFormat="1" applyFont="1" applyFill="1" applyBorder="1"/>
    <xf numFmtId="170" fontId="7" fillId="3" borderId="11" xfId="1" applyNumberFormat="1" applyFont="1" applyFill="1" applyBorder="1" applyAlignment="1">
      <alignment vertical="top"/>
    </xf>
    <xf numFmtId="166" fontId="16" fillId="3" borderId="6" xfId="5" applyNumberFormat="1" applyFont="1" applyFill="1" applyBorder="1"/>
    <xf numFmtId="166" fontId="16" fillId="3" borderId="11" xfId="5" applyNumberFormat="1" applyFont="1" applyFill="1" applyBorder="1"/>
    <xf numFmtId="169" fontId="15" fillId="3" borderId="12" xfId="0" applyNumberFormat="1" applyFont="1" applyFill="1" applyBorder="1" applyAlignment="1">
      <alignment vertical="top"/>
    </xf>
    <xf numFmtId="170" fontId="15" fillId="3" borderId="12" xfId="1" applyNumberFormat="1" applyFont="1" applyFill="1" applyBorder="1" applyAlignment="1">
      <alignment vertical="top"/>
    </xf>
    <xf numFmtId="170" fontId="16" fillId="3" borderId="6" xfId="1" applyNumberFormat="1" applyFont="1" applyFill="1" applyBorder="1"/>
    <xf numFmtId="170" fontId="16" fillId="3" borderId="11" xfId="1" applyNumberFormat="1" applyFont="1" applyFill="1" applyBorder="1"/>
    <xf numFmtId="170" fontId="16" fillId="3" borderId="11" xfId="1" applyNumberFormat="1" applyFont="1" applyFill="1" applyBorder="1" applyAlignment="1">
      <alignment vertical="top"/>
    </xf>
    <xf numFmtId="166" fontId="16" fillId="3" borderId="10" xfId="5" applyNumberFormat="1" applyFont="1" applyFill="1" applyBorder="1"/>
    <xf numFmtId="166" fontId="16" fillId="3" borderId="9" xfId="5" applyNumberFormat="1" applyFont="1" applyFill="1" applyBorder="1"/>
    <xf numFmtId="170" fontId="16" fillId="3" borderId="10" xfId="1" applyNumberFormat="1" applyFont="1" applyFill="1" applyBorder="1"/>
    <xf numFmtId="170" fontId="16" fillId="3" borderId="9" xfId="1" applyNumberFormat="1" applyFont="1" applyFill="1" applyBorder="1"/>
    <xf numFmtId="166" fontId="8" fillId="3" borderId="10" xfId="0" applyNumberFormat="1" applyFont="1" applyFill="1" applyBorder="1" applyAlignment="1">
      <alignment vertical="top"/>
    </xf>
    <xf numFmtId="169" fontId="8" fillId="3" borderId="1" xfId="0" applyNumberFormat="1" applyFont="1" applyFill="1" applyBorder="1" applyAlignment="1">
      <alignment vertical="top"/>
    </xf>
    <xf numFmtId="170" fontId="8" fillId="3" borderId="1" xfId="1" applyNumberFormat="1" applyFont="1" applyFill="1" applyBorder="1" applyAlignment="1">
      <alignment vertical="top"/>
    </xf>
    <xf numFmtId="170" fontId="8" fillId="3" borderId="6" xfId="1" applyNumberFormat="1" applyFont="1" applyFill="1" applyBorder="1" applyAlignment="1">
      <alignment vertical="top"/>
    </xf>
    <xf numFmtId="170" fontId="8" fillId="3" borderId="10" xfId="1" applyNumberFormat="1" applyFont="1" applyFill="1" applyBorder="1" applyAlignment="1">
      <alignment vertical="top"/>
    </xf>
    <xf numFmtId="171" fontId="8" fillId="3" borderId="6" xfId="0" applyNumberFormat="1" applyFont="1" applyFill="1" applyBorder="1" applyAlignment="1">
      <alignment vertical="top"/>
    </xf>
    <xf numFmtId="170" fontId="8" fillId="3" borderId="5" xfId="1" applyNumberFormat="1" applyFont="1" applyFill="1" applyBorder="1" applyAlignment="1">
      <alignment vertical="top"/>
    </xf>
    <xf numFmtId="170" fontId="8" fillId="3" borderId="11" xfId="1" applyNumberFormat="1" applyFont="1" applyFill="1" applyBorder="1" applyAlignment="1">
      <alignment vertical="top"/>
    </xf>
    <xf numFmtId="169" fontId="8" fillId="3" borderId="7" xfId="0" applyNumberFormat="1" applyFont="1" applyFill="1" applyBorder="1" applyAlignment="1">
      <alignment vertical="top"/>
    </xf>
    <xf numFmtId="166" fontId="7" fillId="3" borderId="10" xfId="5" applyNumberFormat="1" applyFont="1" applyFill="1" applyBorder="1"/>
    <xf numFmtId="170" fontId="8" fillId="3" borderId="7" xfId="1" applyNumberFormat="1" applyFont="1" applyFill="1" applyBorder="1" applyAlignment="1">
      <alignment vertical="top"/>
    </xf>
    <xf numFmtId="170" fontId="7" fillId="3" borderId="10" xfId="1" applyNumberFormat="1" applyFont="1" applyFill="1" applyBorder="1"/>
    <xf numFmtId="170" fontId="8" fillId="3" borderId="9" xfId="1" applyNumberFormat="1" applyFont="1" applyFill="1" applyBorder="1" applyAlignment="1">
      <alignment vertical="top"/>
    </xf>
    <xf numFmtId="166" fontId="8" fillId="3" borderId="13" xfId="0" applyNumberFormat="1" applyFont="1" applyFill="1" applyBorder="1" applyAlignment="1">
      <alignment vertical="top"/>
    </xf>
    <xf numFmtId="166" fontId="8" fillId="3" borderId="15" xfId="5" applyNumberFormat="1" applyFont="1" applyFill="1" applyBorder="1"/>
    <xf numFmtId="166" fontId="8" fillId="3" borderId="15" xfId="0" applyNumberFormat="1" applyFont="1" applyFill="1" applyBorder="1" applyAlignment="1">
      <alignment vertical="top"/>
    </xf>
    <xf numFmtId="166" fontId="8" fillId="3" borderId="2" xfId="0" applyNumberFormat="1" applyFont="1" applyFill="1" applyBorder="1" applyAlignment="1">
      <alignment vertical="top"/>
    </xf>
    <xf numFmtId="170" fontId="8" fillId="3" borderId="2" xfId="1" applyNumberFormat="1" applyFont="1" applyFill="1" applyBorder="1" applyAlignment="1">
      <alignment vertical="top"/>
    </xf>
    <xf numFmtId="169" fontId="8" fillId="3" borderId="6" xfId="0" applyNumberFormat="1" applyFont="1" applyFill="1" applyBorder="1" applyAlignment="1">
      <alignment vertical="top"/>
    </xf>
    <xf numFmtId="170" fontId="7" fillId="3" borderId="6" xfId="1" applyNumberFormat="1" applyFont="1" applyFill="1" applyBorder="1" applyAlignment="1">
      <alignment vertical="top"/>
    </xf>
    <xf numFmtId="170" fontId="16" fillId="3" borderId="6" xfId="1" applyNumberFormat="1" applyFont="1" applyFill="1" applyBorder="1" applyAlignment="1">
      <alignment vertical="top"/>
    </xf>
    <xf numFmtId="169" fontId="8" fillId="3" borderId="1" xfId="0" applyNumberFormat="1" applyFont="1" applyFill="1" applyBorder="1" applyAlignment="1">
      <alignment vertical="top" wrapText="1"/>
    </xf>
    <xf numFmtId="166" fontId="8" fillId="3" borderId="2" xfId="0" applyNumberFormat="1" applyFont="1" applyFill="1" applyBorder="1" applyAlignment="1">
      <alignment vertical="top" wrapText="1"/>
    </xf>
    <xf numFmtId="166" fontId="8" fillId="3" borderId="10" xfId="0" applyNumberFormat="1" applyFont="1" applyFill="1" applyBorder="1" applyAlignment="1">
      <alignment vertical="top" wrapText="1"/>
    </xf>
    <xf numFmtId="170" fontId="8" fillId="3" borderId="1" xfId="1" applyNumberFormat="1" applyFont="1" applyFill="1" applyBorder="1" applyAlignment="1">
      <alignment vertical="top" wrapText="1"/>
    </xf>
    <xf numFmtId="170" fontId="8" fillId="3" borderId="2" xfId="1" applyNumberFormat="1" applyFont="1" applyFill="1" applyBorder="1" applyAlignment="1">
      <alignment vertical="top" wrapText="1"/>
    </xf>
    <xf numFmtId="170" fontId="8" fillId="3" borderId="10" xfId="1" applyNumberFormat="1" applyFont="1" applyFill="1" applyBorder="1" applyAlignment="1">
      <alignment vertical="top" wrapText="1"/>
    </xf>
    <xf numFmtId="169" fontId="8" fillId="3" borderId="12" xfId="6" applyNumberFormat="1" applyFont="1" applyFill="1" applyBorder="1" applyAlignment="1">
      <alignment vertical="top"/>
    </xf>
    <xf numFmtId="168" fontId="20" fillId="0" borderId="6" xfId="0" applyNumberFormat="1" applyFont="1" applyFill="1" applyBorder="1" applyAlignment="1">
      <alignment vertical="top"/>
    </xf>
    <xf numFmtId="168" fontId="20" fillId="0" borderId="0" xfId="0" applyNumberFormat="1" applyFont="1"/>
    <xf numFmtId="169" fontId="18" fillId="3" borderId="2" xfId="0" applyNumberFormat="1" applyFont="1" applyFill="1" applyBorder="1" applyAlignment="1">
      <alignment vertical="top" wrapText="1"/>
    </xf>
    <xf numFmtId="166" fontId="18" fillId="3" borderId="6" xfId="0" applyNumberFormat="1" applyFont="1" applyFill="1" applyBorder="1" applyAlignment="1">
      <alignment vertical="top" wrapText="1"/>
    </xf>
    <xf numFmtId="0" fontId="20" fillId="0" borderId="0" xfId="0" applyFont="1"/>
    <xf numFmtId="170" fontId="18" fillId="3" borderId="12" xfId="1" applyNumberFormat="1" applyFont="1" applyFill="1" applyBorder="1" applyAlignment="1">
      <alignment vertical="top"/>
    </xf>
    <xf numFmtId="170" fontId="18" fillId="3" borderId="10" xfId="1" applyNumberFormat="1" applyFont="1" applyFill="1" applyBorder="1" applyAlignment="1">
      <alignment vertical="top" wrapText="1"/>
    </xf>
    <xf numFmtId="170" fontId="18" fillId="3" borderId="6" xfId="1" applyNumberFormat="1" applyFont="1" applyFill="1" applyBorder="1" applyAlignment="1">
      <alignment vertical="top"/>
    </xf>
    <xf numFmtId="169" fontId="9" fillId="3" borderId="2" xfId="0" applyNumberFormat="1" applyFont="1" applyFill="1" applyBorder="1"/>
    <xf numFmtId="170" fontId="9" fillId="3" borderId="2" xfId="1" applyNumberFormat="1" applyFont="1" applyFill="1" applyBorder="1"/>
    <xf numFmtId="169" fontId="8" fillId="3" borderId="14" xfId="0" applyNumberFormat="1" applyFont="1" applyFill="1" applyBorder="1"/>
    <xf numFmtId="168" fontId="8" fillId="3" borderId="14" xfId="0" applyNumberFormat="1" applyFont="1" applyFill="1" applyBorder="1"/>
    <xf numFmtId="168" fontId="9" fillId="3" borderId="14" xfId="0" applyNumberFormat="1" applyFont="1" applyFill="1" applyBorder="1"/>
    <xf numFmtId="170" fontId="8" fillId="3" borderId="14" xfId="1" applyNumberFormat="1" applyFont="1" applyFill="1" applyBorder="1"/>
    <xf numFmtId="170" fontId="9" fillId="3" borderId="14" xfId="1" applyNumberFormat="1" applyFont="1" applyFill="1" applyBorder="1"/>
    <xf numFmtId="170" fontId="8" fillId="3" borderId="15" xfId="1" applyNumberFormat="1" applyFont="1" applyFill="1" applyBorder="1"/>
    <xf numFmtId="168" fontId="7" fillId="0" borderId="12" xfId="0" applyNumberFormat="1" applyFont="1" applyFill="1" applyBorder="1" applyAlignment="1">
      <alignment vertical="top"/>
    </xf>
    <xf numFmtId="166" fontId="7" fillId="3" borderId="12" xfId="5" applyNumberFormat="1" applyFont="1" applyFill="1" applyBorder="1"/>
    <xf numFmtId="170" fontId="7" fillId="3" borderId="12" xfId="1" applyNumberFormat="1" applyFont="1" applyFill="1" applyBorder="1"/>
    <xf numFmtId="168" fontId="7" fillId="0" borderId="7" xfId="0" applyNumberFormat="1" applyFont="1" applyFill="1" applyBorder="1" applyAlignment="1">
      <alignment vertical="top"/>
    </xf>
    <xf numFmtId="166" fontId="7" fillId="3" borderId="9" xfId="5" applyNumberFormat="1" applyFont="1" applyFill="1" applyBorder="1"/>
    <xf numFmtId="166" fontId="7" fillId="3" borderId="7" xfId="5" applyNumberFormat="1" applyFont="1" applyFill="1" applyBorder="1"/>
    <xf numFmtId="170" fontId="7" fillId="3" borderId="7" xfId="1" applyNumberFormat="1" applyFont="1" applyFill="1" applyBorder="1"/>
    <xf numFmtId="170" fontId="7" fillId="3" borderId="10" xfId="1" applyNumberFormat="1" applyFont="1" applyFill="1" applyBorder="1" applyAlignment="1">
      <alignment vertical="top"/>
    </xf>
    <xf numFmtId="168" fontId="9" fillId="3" borderId="1" xfId="0" applyNumberFormat="1" applyFont="1" applyFill="1" applyBorder="1"/>
    <xf numFmtId="169" fontId="8" fillId="3" borderId="15" xfId="0" applyNumberFormat="1" applyFont="1" applyFill="1" applyBorder="1"/>
    <xf numFmtId="170" fontId="8" fillId="3" borderId="10" xfId="1" applyNumberFormat="1" applyFont="1" applyFill="1" applyBorder="1"/>
    <xf numFmtId="170" fontId="9" fillId="3" borderId="1" xfId="1" applyNumberFormat="1" applyFont="1" applyFill="1" applyBorder="1"/>
    <xf numFmtId="170" fontId="8" fillId="3" borderId="1" xfId="1" applyNumberFormat="1" applyFont="1" applyFill="1" applyBorder="1"/>
    <xf numFmtId="0" fontId="18" fillId="0" borderId="13" xfId="0" applyFont="1" applyBorder="1"/>
    <xf numFmtId="168" fontId="20" fillId="0" borderId="4" xfId="0" applyNumberFormat="1" applyFont="1" applyBorder="1"/>
    <xf numFmtId="168" fontId="20" fillId="0" borderId="14" xfId="0" applyNumberFormat="1" applyFont="1" applyBorder="1"/>
    <xf numFmtId="168" fontId="20" fillId="0" borderId="15" xfId="0" applyNumberFormat="1" applyFont="1" applyBorder="1"/>
    <xf numFmtId="167" fontId="20" fillId="0" borderId="12" xfId="0" applyNumberFormat="1" applyFont="1" applyFill="1" applyBorder="1" applyAlignment="1">
      <alignment vertical="top"/>
    </xf>
    <xf numFmtId="168" fontId="20" fillId="3" borderId="2" xfId="0" applyNumberFormat="1" applyFont="1" applyFill="1" applyBorder="1" applyAlignment="1">
      <alignment vertical="top"/>
    </xf>
    <xf numFmtId="168" fontId="18" fillId="3" borderId="2" xfId="0" applyNumberFormat="1" applyFont="1" applyFill="1" applyBorder="1" applyAlignment="1">
      <alignment vertical="top"/>
    </xf>
    <xf numFmtId="168" fontId="20" fillId="3" borderId="6" xfId="0" applyNumberFormat="1" applyFont="1" applyFill="1" applyBorder="1" applyAlignment="1">
      <alignment vertical="top"/>
    </xf>
    <xf numFmtId="168" fontId="18" fillId="3" borderId="6" xfId="0" applyNumberFormat="1" applyFont="1" applyFill="1" applyBorder="1" applyAlignment="1">
      <alignment vertical="top"/>
    </xf>
    <xf numFmtId="167" fontId="18" fillId="0" borderId="1" xfId="0" applyNumberFormat="1" applyFont="1" applyFill="1" applyBorder="1" applyAlignment="1">
      <alignment vertical="top"/>
    </xf>
    <xf numFmtId="168" fontId="18" fillId="3" borderId="15" xfId="0" applyNumberFormat="1" applyFont="1" applyFill="1" applyBorder="1"/>
    <xf numFmtId="168" fontId="18" fillId="3" borderId="1" xfId="0" applyNumberFormat="1" applyFont="1" applyFill="1" applyBorder="1"/>
    <xf numFmtId="168" fontId="19" fillId="3" borderId="1" xfId="0" applyNumberFormat="1" applyFont="1" applyFill="1" applyBorder="1"/>
    <xf numFmtId="0" fontId="19" fillId="0" borderId="1" xfId="0" applyFont="1" applyFill="1" applyBorder="1" applyAlignment="1">
      <alignment wrapText="1"/>
    </xf>
    <xf numFmtId="166" fontId="19" fillId="3" borderId="1" xfId="0" applyNumberFormat="1" applyFont="1" applyFill="1" applyBorder="1"/>
    <xf numFmtId="171" fontId="8" fillId="0" borderId="0" xfId="0" applyNumberFormat="1" applyFont="1"/>
    <xf numFmtId="168" fontId="8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168" fontId="7" fillId="3" borderId="5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left"/>
    </xf>
    <xf numFmtId="168" fontId="8" fillId="3" borderId="3" xfId="0" applyNumberFormat="1" applyFont="1" applyFill="1" applyBorder="1" applyAlignment="1">
      <alignment vertical="top"/>
    </xf>
    <xf numFmtId="168" fontId="7" fillId="3" borderId="2" xfId="5" applyNumberFormat="1" applyFont="1" applyFill="1" applyBorder="1"/>
    <xf numFmtId="168" fontId="7" fillId="3" borderId="5" xfId="5" applyNumberFormat="1" applyFont="1" applyFill="1" applyBorder="1"/>
    <xf numFmtId="168" fontId="7" fillId="3" borderId="5" xfId="0" applyNumberFormat="1" applyFont="1" applyFill="1" applyBorder="1" applyAlignment="1">
      <alignment vertical="top"/>
    </xf>
    <xf numFmtId="172" fontId="8" fillId="3" borderId="3" xfId="1" applyNumberFormat="1" applyFont="1" applyFill="1" applyBorder="1" applyAlignment="1">
      <alignment vertical="top"/>
    </xf>
    <xf numFmtId="172" fontId="7" fillId="3" borderId="2" xfId="1" applyNumberFormat="1" applyFont="1" applyFill="1" applyBorder="1"/>
    <xf numFmtId="172" fontId="7" fillId="3" borderId="5" xfId="1" applyNumberFormat="1" applyFont="1" applyFill="1" applyBorder="1"/>
    <xf numFmtId="172" fontId="7" fillId="3" borderId="5" xfId="1" applyNumberFormat="1" applyFont="1" applyFill="1" applyBorder="1" applyAlignment="1">
      <alignment vertical="top"/>
    </xf>
    <xf numFmtId="168" fontId="8" fillId="3" borderId="12" xfId="0" applyNumberFormat="1" applyFont="1" applyFill="1" applyBorder="1" applyAlignment="1">
      <alignment vertical="top"/>
    </xf>
    <xf numFmtId="168" fontId="7" fillId="3" borderId="6" xfId="5" applyNumberFormat="1" applyFont="1" applyFill="1" applyBorder="1"/>
    <xf numFmtId="168" fontId="7" fillId="3" borderId="11" xfId="5" applyNumberFormat="1" applyFont="1" applyFill="1" applyBorder="1"/>
    <xf numFmtId="168" fontId="7" fillId="3" borderId="11" xfId="0" applyNumberFormat="1" applyFont="1" applyFill="1" applyBorder="1" applyAlignment="1">
      <alignment vertical="top"/>
    </xf>
    <xf numFmtId="172" fontId="8" fillId="3" borderId="12" xfId="1" applyNumberFormat="1" applyFont="1" applyFill="1" applyBorder="1" applyAlignment="1">
      <alignment vertical="top"/>
    </xf>
    <xf numFmtId="172" fontId="7" fillId="3" borderId="6" xfId="1" applyNumberFormat="1" applyFont="1" applyFill="1" applyBorder="1"/>
    <xf numFmtId="172" fontId="7" fillId="3" borderId="11" xfId="1" applyNumberFormat="1" applyFont="1" applyFill="1" applyBorder="1"/>
    <xf numFmtId="172" fontId="7" fillId="3" borderId="11" xfId="1" applyNumberFormat="1" applyFont="1" applyFill="1" applyBorder="1" applyAlignment="1">
      <alignment vertical="top"/>
    </xf>
    <xf numFmtId="168" fontId="15" fillId="3" borderId="12" xfId="0" applyNumberFormat="1" applyFont="1" applyFill="1" applyBorder="1" applyAlignment="1">
      <alignment vertical="top"/>
    </xf>
    <xf numFmtId="168" fontId="16" fillId="3" borderId="6" xfId="5" applyNumberFormat="1" applyFont="1" applyFill="1" applyBorder="1"/>
    <xf numFmtId="168" fontId="16" fillId="3" borderId="11" xfId="5" applyNumberFormat="1" applyFont="1" applyFill="1" applyBorder="1"/>
    <xf numFmtId="168" fontId="16" fillId="3" borderId="11" xfId="0" applyNumberFormat="1" applyFont="1" applyFill="1" applyBorder="1" applyAlignment="1">
      <alignment vertical="top"/>
    </xf>
    <xf numFmtId="172" fontId="15" fillId="3" borderId="12" xfId="1" applyNumberFormat="1" applyFont="1" applyFill="1" applyBorder="1" applyAlignment="1">
      <alignment vertical="top"/>
    </xf>
    <xf numFmtId="172" fontId="16" fillId="3" borderId="6" xfId="1" applyNumberFormat="1" applyFont="1" applyFill="1" applyBorder="1"/>
    <xf numFmtId="172" fontId="16" fillId="3" borderId="11" xfId="1" applyNumberFormat="1" applyFont="1" applyFill="1" applyBorder="1"/>
    <xf numFmtId="172" fontId="16" fillId="3" borderId="11" xfId="1" applyNumberFormat="1" applyFont="1" applyFill="1" applyBorder="1" applyAlignment="1">
      <alignment vertical="top"/>
    </xf>
    <xf numFmtId="168" fontId="16" fillId="3" borderId="10" xfId="5" applyNumberFormat="1" applyFont="1" applyFill="1" applyBorder="1"/>
    <xf numFmtId="168" fontId="16" fillId="3" borderId="9" xfId="5" applyNumberFormat="1" applyFont="1" applyFill="1" applyBorder="1"/>
    <xf numFmtId="172" fontId="16" fillId="3" borderId="10" xfId="1" applyNumberFormat="1" applyFont="1" applyFill="1" applyBorder="1"/>
    <xf numFmtId="172" fontId="16" fillId="3" borderId="9" xfId="1" applyNumberFormat="1" applyFont="1" applyFill="1" applyBorder="1"/>
    <xf numFmtId="168" fontId="8" fillId="3" borderId="1" xfId="0" applyNumberFormat="1" applyFont="1" applyFill="1" applyBorder="1" applyAlignment="1">
      <alignment vertical="top"/>
    </xf>
    <xf numFmtId="168" fontId="8" fillId="3" borderId="10" xfId="0" applyNumberFormat="1" applyFont="1" applyFill="1" applyBorder="1" applyAlignment="1">
      <alignment vertical="top"/>
    </xf>
    <xf numFmtId="172" fontId="8" fillId="3" borderId="1" xfId="1" applyNumberFormat="1" applyFont="1" applyFill="1" applyBorder="1" applyAlignment="1">
      <alignment vertical="top"/>
    </xf>
    <xf numFmtId="172" fontId="8" fillId="3" borderId="6" xfId="1" applyNumberFormat="1" applyFont="1" applyFill="1" applyBorder="1" applyAlignment="1">
      <alignment vertical="top"/>
    </xf>
    <xf numFmtId="172" fontId="8" fillId="3" borderId="10" xfId="1" applyNumberFormat="1" applyFont="1" applyFill="1" applyBorder="1" applyAlignment="1">
      <alignment vertical="top"/>
    </xf>
    <xf numFmtId="168" fontId="8" fillId="3" borderId="5" xfId="0" applyNumberFormat="1" applyFont="1" applyFill="1" applyBorder="1" applyAlignment="1">
      <alignment vertical="top"/>
    </xf>
    <xf numFmtId="172" fontId="8" fillId="3" borderId="5" xfId="1" applyNumberFormat="1" applyFont="1" applyFill="1" applyBorder="1" applyAlignment="1">
      <alignment vertical="top"/>
    </xf>
    <xf numFmtId="168" fontId="8" fillId="3" borderId="11" xfId="0" applyNumberFormat="1" applyFont="1" applyFill="1" applyBorder="1" applyAlignment="1">
      <alignment vertical="top"/>
    </xf>
    <xf numFmtId="172" fontId="8" fillId="3" borderId="11" xfId="1" applyNumberFormat="1" applyFont="1" applyFill="1" applyBorder="1" applyAlignment="1">
      <alignment vertical="top"/>
    </xf>
    <xf numFmtId="168" fontId="8" fillId="3" borderId="7" xfId="0" applyNumberFormat="1" applyFont="1" applyFill="1" applyBorder="1" applyAlignment="1">
      <alignment vertical="top"/>
    </xf>
    <xf numFmtId="168" fontId="7" fillId="3" borderId="10" xfId="5" applyNumberFormat="1" applyFont="1" applyFill="1" applyBorder="1"/>
    <xf numFmtId="168" fontId="8" fillId="3" borderId="9" xfId="0" applyNumberFormat="1" applyFont="1" applyFill="1" applyBorder="1" applyAlignment="1">
      <alignment vertical="top"/>
    </xf>
    <xf numFmtId="172" fontId="8" fillId="3" borderId="7" xfId="1" applyNumberFormat="1" applyFont="1" applyFill="1" applyBorder="1" applyAlignment="1">
      <alignment vertical="top"/>
    </xf>
    <xf numFmtId="172" fontId="7" fillId="3" borderId="10" xfId="1" applyNumberFormat="1" applyFont="1" applyFill="1" applyBorder="1"/>
    <xf numFmtId="172" fontId="8" fillId="3" borderId="9" xfId="1" applyNumberFormat="1" applyFont="1" applyFill="1" applyBorder="1" applyAlignment="1">
      <alignment vertical="top"/>
    </xf>
    <xf numFmtId="172" fontId="8" fillId="3" borderId="2" xfId="1" applyNumberFormat="1" applyFont="1" applyFill="1" applyBorder="1" applyAlignment="1">
      <alignment vertical="top"/>
    </xf>
    <xf numFmtId="168" fontId="7" fillId="3" borderId="6" xfId="0" applyNumberFormat="1" applyFont="1" applyFill="1" applyBorder="1" applyAlignment="1">
      <alignment vertical="top"/>
    </xf>
    <xf numFmtId="172" fontId="7" fillId="3" borderId="6" xfId="1" applyNumberFormat="1" applyFont="1" applyFill="1" applyBorder="1" applyAlignment="1">
      <alignment vertical="top"/>
    </xf>
    <xf numFmtId="168" fontId="16" fillId="3" borderId="6" xfId="0" applyNumberFormat="1" applyFont="1" applyFill="1" applyBorder="1" applyAlignment="1">
      <alignment vertical="top"/>
    </xf>
    <xf numFmtId="172" fontId="16" fillId="3" borderId="6" xfId="1" applyNumberFormat="1" applyFont="1" applyFill="1" applyBorder="1" applyAlignment="1">
      <alignment vertical="top"/>
    </xf>
    <xf numFmtId="168" fontId="8" fillId="3" borderId="1" xfId="0" applyNumberFormat="1" applyFont="1" applyFill="1" applyBorder="1" applyAlignment="1">
      <alignment vertical="top" wrapText="1"/>
    </xf>
    <xf numFmtId="168" fontId="8" fillId="3" borderId="2" xfId="0" applyNumberFormat="1" applyFont="1" applyFill="1" applyBorder="1" applyAlignment="1">
      <alignment vertical="top" wrapText="1"/>
    </xf>
    <xf numFmtId="168" fontId="8" fillId="3" borderId="10" xfId="0" applyNumberFormat="1" applyFont="1" applyFill="1" applyBorder="1" applyAlignment="1">
      <alignment vertical="top" wrapText="1"/>
    </xf>
    <xf numFmtId="172" fontId="8" fillId="3" borderId="1" xfId="1" applyNumberFormat="1" applyFont="1" applyFill="1" applyBorder="1" applyAlignment="1">
      <alignment vertical="top" wrapText="1"/>
    </xf>
    <xf numFmtId="172" fontId="8" fillId="3" borderId="2" xfId="1" applyNumberFormat="1" applyFont="1" applyFill="1" applyBorder="1" applyAlignment="1">
      <alignment vertical="top" wrapText="1"/>
    </xf>
    <xf numFmtId="172" fontId="8" fillId="3" borderId="10" xfId="1" applyNumberFormat="1" applyFont="1" applyFill="1" applyBorder="1" applyAlignment="1">
      <alignment vertical="top" wrapText="1"/>
    </xf>
    <xf numFmtId="168" fontId="8" fillId="3" borderId="12" xfId="6" applyNumberFormat="1" applyFont="1" applyFill="1" applyBorder="1" applyAlignment="1">
      <alignment vertical="top"/>
    </xf>
    <xf numFmtId="168" fontId="7" fillId="3" borderId="6" xfId="6" applyNumberFormat="1" applyFont="1" applyFill="1" applyBorder="1" applyAlignment="1">
      <alignment vertical="top"/>
    </xf>
    <xf numFmtId="168" fontId="20" fillId="0" borderId="0" xfId="0" applyNumberFormat="1" applyFont="1" applyAlignment="1">
      <alignment horizontal="left"/>
    </xf>
    <xf numFmtId="168" fontId="18" fillId="3" borderId="12" xfId="6" applyNumberFormat="1" applyFont="1" applyFill="1" applyBorder="1" applyAlignment="1">
      <alignment vertical="top"/>
    </xf>
    <xf numFmtId="168" fontId="20" fillId="3" borderId="6" xfId="5" applyNumberFormat="1" applyFont="1" applyFill="1" applyBorder="1"/>
    <xf numFmtId="168" fontId="20" fillId="3" borderId="6" xfId="6" applyNumberFormat="1" applyFont="1" applyFill="1" applyBorder="1" applyAlignment="1">
      <alignment vertical="top"/>
    </xf>
    <xf numFmtId="172" fontId="18" fillId="3" borderId="12" xfId="1" applyNumberFormat="1" applyFont="1" applyFill="1" applyBorder="1" applyAlignment="1">
      <alignment vertical="top"/>
    </xf>
    <xf numFmtId="172" fontId="20" fillId="3" borderId="6" xfId="1" applyNumberFormat="1" applyFont="1" applyFill="1" applyBorder="1"/>
    <xf numFmtId="172" fontId="20" fillId="3" borderId="6" xfId="1" applyNumberFormat="1" applyFont="1" applyFill="1" applyBorder="1" applyAlignment="1">
      <alignment vertical="top"/>
    </xf>
    <xf numFmtId="168" fontId="9" fillId="3" borderId="2" xfId="0" applyNumberFormat="1" applyFont="1" applyFill="1" applyBorder="1"/>
    <xf numFmtId="172" fontId="9" fillId="3" borderId="2" xfId="1" applyNumberFormat="1" applyFont="1" applyFill="1" applyBorder="1"/>
    <xf numFmtId="172" fontId="8" fillId="3" borderId="14" xfId="1" applyNumberFormat="1" applyFont="1" applyFill="1" applyBorder="1"/>
    <xf numFmtId="172" fontId="9" fillId="3" borderId="14" xfId="1" applyNumberFormat="1" applyFont="1" applyFill="1" applyBorder="1"/>
    <xf numFmtId="172" fontId="8" fillId="3" borderId="15" xfId="1" applyNumberFormat="1" applyFont="1" applyFill="1" applyBorder="1"/>
    <xf numFmtId="168" fontId="7" fillId="3" borderId="12" xfId="5" applyNumberFormat="1" applyFont="1" applyFill="1" applyBorder="1"/>
    <xf numFmtId="168" fontId="7" fillId="3" borderId="6" xfId="5" applyNumberFormat="1" applyFont="1" applyFill="1" applyBorder="1" applyAlignment="1">
      <alignment vertical="top"/>
    </xf>
    <xf numFmtId="172" fontId="7" fillId="3" borderId="12" xfId="1" applyNumberFormat="1" applyFont="1" applyFill="1" applyBorder="1"/>
    <xf numFmtId="168" fontId="7" fillId="3" borderId="7" xfId="5" applyNumberFormat="1" applyFont="1" applyFill="1" applyBorder="1"/>
    <xf numFmtId="168" fontId="7" fillId="3" borderId="10" xfId="5" applyNumberFormat="1" applyFont="1" applyFill="1" applyBorder="1" applyAlignment="1">
      <alignment vertical="top"/>
    </xf>
    <xf numFmtId="172" fontId="7" fillId="3" borderId="7" xfId="1" applyNumberFormat="1" applyFont="1" applyFill="1" applyBorder="1"/>
    <xf numFmtId="172" fontId="7" fillId="3" borderId="10" xfId="1" applyNumberFormat="1" applyFont="1" applyFill="1" applyBorder="1" applyAlignment="1">
      <alignment vertical="top"/>
    </xf>
    <xf numFmtId="172" fontId="8" fillId="3" borderId="10" xfId="1" applyNumberFormat="1" applyFont="1" applyFill="1" applyBorder="1"/>
    <xf numFmtId="172" fontId="9" fillId="3" borderId="1" xfId="1" applyNumberFormat="1" applyFont="1" applyFill="1" applyBorder="1"/>
    <xf numFmtId="172" fontId="8" fillId="3" borderId="1" xfId="1" applyNumberFormat="1" applyFont="1" applyFill="1" applyBorder="1"/>
    <xf numFmtId="0" fontId="9" fillId="3" borderId="12" xfId="0" applyFont="1" applyFill="1" applyBorder="1" applyAlignment="1">
      <alignment horizontal="center"/>
    </xf>
    <xf numFmtId="166" fontId="18" fillId="3" borderId="12" xfId="0" applyNumberFormat="1" applyFont="1" applyFill="1" applyBorder="1" applyAlignment="1">
      <alignment vertical="top"/>
    </xf>
    <xf numFmtId="166" fontId="20" fillId="3" borderId="6" xfId="5" applyNumberFormat="1" applyFont="1" applyFill="1" applyBorder="1"/>
    <xf numFmtId="166" fontId="20" fillId="3" borderId="11" xfId="5" applyNumberFormat="1" applyFont="1" applyFill="1" applyBorder="1"/>
    <xf numFmtId="166" fontId="20" fillId="3" borderId="11" xfId="0" applyNumberFormat="1" applyFont="1" applyFill="1" applyBorder="1" applyAlignment="1">
      <alignment vertical="top"/>
    </xf>
    <xf numFmtId="166" fontId="7" fillId="3" borderId="9" xfId="0" applyNumberFormat="1" applyFont="1" applyFill="1" applyBorder="1" applyAlignment="1">
      <alignment vertical="top"/>
    </xf>
    <xf numFmtId="168" fontId="21" fillId="0" borderId="0" xfId="0" applyNumberFormat="1" applyFont="1" applyAlignment="1">
      <alignment horizontal="right"/>
    </xf>
    <xf numFmtId="168" fontId="8" fillId="3" borderId="3" xfId="0" applyNumberFormat="1" applyFont="1" applyFill="1" applyBorder="1" applyAlignment="1">
      <alignment horizontal="centerContinuous"/>
    </xf>
    <xf numFmtId="168" fontId="7" fillId="3" borderId="4" xfId="0" applyNumberFormat="1" applyFont="1" applyFill="1" applyBorder="1" applyAlignment="1">
      <alignment horizontal="centerContinuous"/>
    </xf>
    <xf numFmtId="168" fontId="9" fillId="3" borderId="4" xfId="0" applyNumberFormat="1" applyFont="1" applyFill="1" applyBorder="1" applyAlignment="1">
      <alignment horizontal="centerContinuous"/>
    </xf>
    <xf numFmtId="168" fontId="7" fillId="3" borderId="5" xfId="0" applyNumberFormat="1" applyFont="1" applyFill="1" applyBorder="1" applyAlignment="1">
      <alignment horizontal="centerContinuous"/>
    </xf>
    <xf numFmtId="0" fontId="9" fillId="3" borderId="10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168" fontId="9" fillId="3" borderId="9" xfId="0" applyNumberFormat="1" applyFont="1" applyFill="1" applyBorder="1" applyAlignment="1">
      <alignment horizontal="center" wrapText="1"/>
    </xf>
    <xf numFmtId="168" fontId="7" fillId="3" borderId="2" xfId="0" applyNumberFormat="1" applyFont="1" applyFill="1" applyBorder="1" applyAlignment="1">
      <alignment vertical="top"/>
    </xf>
    <xf numFmtId="168" fontId="15" fillId="3" borderId="6" xfId="0" applyNumberFormat="1" applyFont="1" applyFill="1" applyBorder="1" applyAlignment="1">
      <alignment vertical="top"/>
    </xf>
    <xf numFmtId="168" fontId="8" fillId="3" borderId="0" xfId="0" applyNumberFormat="1" applyFont="1" applyFill="1" applyBorder="1" applyAlignment="1">
      <alignment vertical="top"/>
    </xf>
    <xf numFmtId="168" fontId="7" fillId="3" borderId="0" xfId="0" applyNumberFormat="1" applyFont="1" applyFill="1" applyBorder="1" applyAlignment="1">
      <alignment vertical="top"/>
    </xf>
    <xf numFmtId="168" fontId="8" fillId="3" borderId="0" xfId="6" applyNumberFormat="1" applyFont="1" applyFill="1" applyBorder="1" applyAlignment="1">
      <alignment vertical="top"/>
    </xf>
    <xf numFmtId="168" fontId="7" fillId="3" borderId="0" xfId="6" applyNumberFormat="1" applyFont="1" applyFill="1" applyBorder="1" applyAlignment="1">
      <alignment vertical="top"/>
    </xf>
    <xf numFmtId="0" fontId="9" fillId="0" borderId="1" xfId="0" applyFont="1" applyFill="1" applyBorder="1"/>
    <xf numFmtId="173" fontId="7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0" borderId="3" xfId="0" applyFont="1" applyFill="1" applyBorder="1"/>
    <xf numFmtId="0" fontId="7" fillId="0" borderId="12" xfId="0" applyFont="1" applyFill="1" applyBorder="1"/>
    <xf numFmtId="0" fontId="9" fillId="0" borderId="12" xfId="0" applyFont="1" applyFill="1" applyBorder="1"/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2" fillId="0" borderId="6" xfId="0" applyFont="1" applyBorder="1"/>
    <xf numFmtId="0" fontId="22" fillId="0" borderId="15" xfId="0" applyFont="1" applyBorder="1" applyAlignment="1">
      <alignment horizontal="center"/>
    </xf>
    <xf numFmtId="166" fontId="7" fillId="6" borderId="15" xfId="0" applyNumberFormat="1" applyFont="1" applyFill="1" applyBorder="1" applyAlignment="1">
      <alignment vertical="top"/>
    </xf>
    <xf numFmtId="166" fontId="7" fillId="6" borderId="1" xfId="0" applyNumberFormat="1" applyFont="1" applyFill="1" applyBorder="1" applyAlignment="1">
      <alignment vertical="top"/>
    </xf>
    <xf numFmtId="166" fontId="8" fillId="6" borderId="1" xfId="0" applyNumberFormat="1" applyFont="1" applyFill="1" applyBorder="1" applyAlignment="1">
      <alignment vertical="top"/>
    </xf>
    <xf numFmtId="166" fontId="7" fillId="6" borderId="2" xfId="0" applyNumberFormat="1" applyFont="1" applyFill="1" applyBorder="1" applyAlignment="1">
      <alignment vertical="top"/>
    </xf>
    <xf numFmtId="166" fontId="7" fillId="0" borderId="1" xfId="0" applyNumberFormat="1" applyFont="1" applyFill="1" applyBorder="1" applyAlignment="1">
      <alignment vertical="top"/>
    </xf>
    <xf numFmtId="174" fontId="8" fillId="5" borderId="1" xfId="0" applyNumberFormat="1" applyFont="1" applyFill="1" applyBorder="1" applyAlignment="1">
      <alignment horizontal="right"/>
    </xf>
    <xf numFmtId="0" fontId="23" fillId="0" borderId="6" xfId="0" applyFont="1" applyBorder="1" applyAlignment="1">
      <alignment vertical="center"/>
    </xf>
    <xf numFmtId="1" fontId="24" fillId="0" borderId="2" xfId="7" applyNumberFormat="1" applyFont="1" applyFill="1" applyBorder="1" applyAlignment="1">
      <alignment horizontal="center" vertical="center"/>
    </xf>
    <xf numFmtId="174" fontId="25" fillId="5" borderId="5" xfId="0" applyNumberFormat="1" applyFont="1" applyFill="1" applyBorder="1" applyAlignment="1">
      <alignment horizontal="right" vertical="center"/>
    </xf>
    <xf numFmtId="174" fontId="25" fillId="5" borderId="2" xfId="0" applyNumberFormat="1" applyFont="1" applyFill="1" applyBorder="1" applyAlignment="1">
      <alignment horizontal="right" vertical="center"/>
    </xf>
    <xf numFmtId="174" fontId="7" fillId="4" borderId="2" xfId="5" applyNumberFormat="1" applyFont="1" applyFill="1" applyBorder="1"/>
    <xf numFmtId="174" fontId="26" fillId="5" borderId="2" xfId="0" applyNumberFormat="1" applyFont="1" applyFill="1" applyBorder="1" applyAlignment="1">
      <alignment horizontal="right" vertical="center"/>
    </xf>
    <xf numFmtId="1" fontId="24" fillId="0" borderId="6" xfId="7" applyNumberFormat="1" applyFont="1" applyFill="1" applyBorder="1" applyAlignment="1">
      <alignment horizontal="center" vertical="center"/>
    </xf>
    <xf numFmtId="174" fontId="25" fillId="5" borderId="11" xfId="0" applyNumberFormat="1" applyFont="1" applyFill="1" applyBorder="1" applyAlignment="1">
      <alignment horizontal="right" vertical="center"/>
    </xf>
    <xf numFmtId="174" fontId="25" fillId="5" borderId="6" xfId="0" applyNumberFormat="1" applyFont="1" applyFill="1" applyBorder="1" applyAlignment="1">
      <alignment horizontal="right" vertical="center"/>
    </xf>
    <xf numFmtId="174" fontId="7" fillId="4" borderId="6" xfId="5" applyNumberFormat="1" applyFont="1" applyFill="1" applyBorder="1"/>
    <xf numFmtId="174" fontId="26" fillId="5" borderId="6" xfId="0" applyNumberFormat="1" applyFont="1" applyFill="1" applyBorder="1" applyAlignment="1">
      <alignment horizontal="right" vertical="center"/>
    </xf>
    <xf numFmtId="1" fontId="24" fillId="0" borderId="10" xfId="7" applyNumberFormat="1" applyFont="1" applyFill="1" applyBorder="1" applyAlignment="1">
      <alignment horizontal="center" vertical="center"/>
    </xf>
    <xf numFmtId="174" fontId="25" fillId="5" borderId="9" xfId="0" applyNumberFormat="1" applyFont="1" applyFill="1" applyBorder="1" applyAlignment="1">
      <alignment horizontal="right" vertical="center"/>
    </xf>
    <xf numFmtId="174" fontId="25" fillId="5" borderId="10" xfId="0" applyNumberFormat="1" applyFont="1" applyFill="1" applyBorder="1" applyAlignment="1">
      <alignment horizontal="right" vertical="center"/>
    </xf>
    <xf numFmtId="174" fontId="7" fillId="4" borderId="10" xfId="5" applyNumberFormat="1" applyFont="1" applyFill="1" applyBorder="1"/>
    <xf numFmtId="174" fontId="26" fillId="5" borderId="10" xfId="0" applyNumberFormat="1" applyFont="1" applyFill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174" fontId="25" fillId="0" borderId="2" xfId="0" applyNumberFormat="1" applyFont="1" applyFill="1" applyBorder="1" applyAlignment="1">
      <alignment horizontal="right" vertical="center"/>
    </xf>
    <xf numFmtId="174" fontId="25" fillId="6" borderId="2" xfId="0" applyNumberFormat="1" applyFont="1" applyFill="1" applyBorder="1" applyAlignment="1">
      <alignment horizontal="right" vertical="center"/>
    </xf>
    <xf numFmtId="174" fontId="25" fillId="6" borderId="6" xfId="0" applyNumberFormat="1" applyFont="1" applyFill="1" applyBorder="1" applyAlignment="1">
      <alignment horizontal="right" vertical="center"/>
    </xf>
    <xf numFmtId="174" fontId="25" fillId="0" borderId="2" xfId="8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166" fontId="25" fillId="0" borderId="10" xfId="0" applyNumberFormat="1" applyFont="1" applyFill="1" applyBorder="1" applyAlignment="1">
      <alignment horizontal="right" vertical="center"/>
    </xf>
    <xf numFmtId="166" fontId="25" fillId="6" borderId="10" xfId="0" applyNumberFormat="1" applyFont="1" applyFill="1" applyBorder="1" applyAlignment="1">
      <alignment horizontal="right" vertical="center"/>
    </xf>
    <xf numFmtId="166" fontId="25" fillId="6" borderId="6" xfId="0" applyNumberFormat="1" applyFont="1" applyFill="1" applyBorder="1" applyAlignment="1">
      <alignment horizontal="right" vertical="center"/>
    </xf>
    <xf numFmtId="174" fontId="25" fillId="0" borderId="10" xfId="8" applyNumberFormat="1" applyFont="1" applyFill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175" fontId="27" fillId="5" borderId="5" xfId="9" applyNumberFormat="1" applyFont="1" applyFill="1" applyBorder="1" applyAlignment="1">
      <alignment horizontal="right" vertical="center"/>
    </xf>
    <xf numFmtId="169" fontId="7" fillId="4" borderId="2" xfId="5" applyNumberFormat="1" applyFont="1" applyFill="1" applyBorder="1"/>
    <xf numFmtId="169" fontId="28" fillId="5" borderId="2" xfId="0" applyNumberFormat="1" applyFont="1" applyFill="1" applyBorder="1" applyAlignment="1">
      <alignment horizontal="right" vertical="center"/>
    </xf>
    <xf numFmtId="174" fontId="28" fillId="5" borderId="6" xfId="0" applyNumberFormat="1" applyFont="1" applyFill="1" applyBorder="1" applyAlignment="1">
      <alignment horizontal="right" vertical="center"/>
    </xf>
    <xf numFmtId="0" fontId="14" fillId="0" borderId="0" xfId="0" applyFont="1"/>
    <xf numFmtId="1" fontId="24" fillId="0" borderId="1" xfId="7" applyNumberFormat="1" applyFont="1" applyFill="1" applyBorder="1" applyAlignment="1">
      <alignment horizontal="center" vertical="center"/>
    </xf>
    <xf numFmtId="174" fontId="25" fillId="5" borderId="1" xfId="0" applyNumberFormat="1" applyFont="1" applyFill="1" applyBorder="1" applyAlignment="1">
      <alignment horizontal="right" vertical="center"/>
    </xf>
    <xf numFmtId="174" fontId="7" fillId="4" borderId="1" xfId="5" applyNumberFormat="1" applyFont="1" applyFill="1" applyBorder="1"/>
    <xf numFmtId="174" fontId="26" fillId="5" borderId="1" xfId="0" applyNumberFormat="1" applyFont="1" applyFill="1" applyBorder="1" applyAlignment="1">
      <alignment horizontal="right" vertical="center"/>
    </xf>
    <xf numFmtId="0" fontId="22" fillId="0" borderId="6" xfId="0" applyFont="1" applyBorder="1" applyAlignment="1">
      <alignment vertical="center"/>
    </xf>
    <xf numFmtId="176" fontId="27" fillId="5" borderId="2" xfId="9" applyNumberFormat="1" applyFont="1" applyFill="1" applyBorder="1" applyAlignment="1">
      <alignment horizontal="right" vertical="center"/>
    </xf>
    <xf numFmtId="176" fontId="27" fillId="5" borderId="5" xfId="9" applyNumberFormat="1" applyFont="1" applyFill="1" applyBorder="1" applyAlignment="1">
      <alignment horizontal="right" vertical="center"/>
    </xf>
    <xf numFmtId="176" fontId="26" fillId="5" borderId="2" xfId="5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176" fontId="27" fillId="5" borderId="6" xfId="9" applyNumberFormat="1" applyFont="1" applyFill="1" applyBorder="1" applyAlignment="1">
      <alignment horizontal="right" vertical="center"/>
    </xf>
    <xf numFmtId="176" fontId="27" fillId="5" borderId="11" xfId="9" applyNumberFormat="1" applyFont="1" applyFill="1" applyBorder="1" applyAlignment="1">
      <alignment horizontal="right" vertical="center"/>
    </xf>
    <xf numFmtId="176" fontId="26" fillId="5" borderId="6" xfId="5" applyNumberFormat="1" applyFont="1" applyFill="1" applyBorder="1" applyAlignment="1">
      <alignment horizontal="right" vertical="center"/>
    </xf>
    <xf numFmtId="0" fontId="23" fillId="0" borderId="6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176" fontId="25" fillId="5" borderId="11" xfId="0" applyNumberFormat="1" applyFont="1" applyFill="1" applyBorder="1" applyAlignment="1">
      <alignment horizontal="right" vertical="center"/>
    </xf>
    <xf numFmtId="176" fontId="25" fillId="5" borderId="6" xfId="0" applyNumberFormat="1" applyFont="1" applyFill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176" fontId="25" fillId="5" borderId="9" xfId="0" applyNumberFormat="1" applyFont="1" applyFill="1" applyBorder="1" applyAlignment="1">
      <alignment horizontal="right" vertical="center"/>
    </xf>
    <xf numFmtId="176" fontId="25" fillId="5" borderId="10" xfId="0" applyNumberFormat="1" applyFont="1" applyFill="1" applyBorder="1" applyAlignment="1">
      <alignment horizontal="right" vertical="center"/>
    </xf>
    <xf numFmtId="166" fontId="7" fillId="4" borderId="10" xfId="5" applyNumberFormat="1" applyFont="1" applyFill="1" applyBorder="1"/>
    <xf numFmtId="0" fontId="7" fillId="5" borderId="5" xfId="0" applyFont="1" applyFill="1" applyBorder="1" applyAlignment="1">
      <alignment horizontal="center"/>
    </xf>
    <xf numFmtId="0" fontId="9" fillId="5" borderId="3" xfId="0" applyFont="1" applyFill="1" applyBorder="1" applyAlignment="1">
      <alignment wrapText="1"/>
    </xf>
    <xf numFmtId="0" fontId="9" fillId="5" borderId="9" xfId="0" applyFont="1" applyFill="1" applyBorder="1" applyAlignment="1">
      <alignment vertical="center"/>
    </xf>
    <xf numFmtId="0" fontId="9" fillId="5" borderId="7" xfId="0" applyFont="1" applyFill="1" applyBorder="1" applyAlignment="1">
      <alignment wrapText="1"/>
    </xf>
    <xf numFmtId="0" fontId="9" fillId="0" borderId="2" xfId="0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 wrapText="1"/>
    </xf>
    <xf numFmtId="166" fontId="7" fillId="5" borderId="15" xfId="0" applyNumberFormat="1" applyFont="1" applyFill="1" applyBorder="1" applyAlignment="1">
      <alignment vertical="top"/>
    </xf>
    <xf numFmtId="177" fontId="8" fillId="5" borderId="1" xfId="0" applyNumberFormat="1" applyFont="1" applyFill="1" applyBorder="1" applyAlignment="1">
      <alignment vertical="top"/>
    </xf>
    <xf numFmtId="177" fontId="7" fillId="5" borderId="1" xfId="0" applyNumberFormat="1" applyFont="1" applyFill="1" applyBorder="1" applyAlignment="1">
      <alignment vertical="top"/>
    </xf>
    <xf numFmtId="177" fontId="8" fillId="5" borderId="1" xfId="0" applyNumberFormat="1" applyFont="1" applyFill="1" applyBorder="1" applyAlignment="1">
      <alignment horizontal="right"/>
    </xf>
    <xf numFmtId="166" fontId="7" fillId="5" borderId="1" xfId="0" applyNumberFormat="1" applyFont="1" applyFill="1" applyBorder="1" applyAlignment="1">
      <alignment vertical="top"/>
    </xf>
    <xf numFmtId="1" fontId="24" fillId="0" borderId="15" xfId="7" applyNumberFormat="1" applyFont="1" applyFill="1" applyBorder="1" applyAlignment="1">
      <alignment horizontal="center" vertical="center"/>
    </xf>
    <xf numFmtId="174" fontId="7" fillId="5" borderId="15" xfId="0" applyNumberFormat="1" applyFont="1" applyFill="1" applyBorder="1" applyAlignment="1">
      <alignment vertical="top"/>
    </xf>
    <xf numFmtId="177" fontId="26" fillId="5" borderId="1" xfId="0" applyNumberFormat="1" applyFont="1" applyFill="1" applyBorder="1" applyAlignment="1">
      <alignment horizontal="right" vertical="center"/>
    </xf>
    <xf numFmtId="177" fontId="25" fillId="5" borderId="1" xfId="0" applyNumberFormat="1" applyFont="1" applyFill="1" applyBorder="1" applyAlignment="1">
      <alignment horizontal="right" vertical="center"/>
    </xf>
    <xf numFmtId="9" fontId="25" fillId="5" borderId="1" xfId="10" applyFont="1" applyFill="1" applyBorder="1" applyAlignment="1">
      <alignment horizontal="right" vertical="center"/>
    </xf>
    <xf numFmtId="9" fontId="26" fillId="5" borderId="1" xfId="10" applyFont="1" applyFill="1" applyBorder="1" applyAlignment="1">
      <alignment horizontal="right" vertical="center"/>
    </xf>
    <xf numFmtId="174" fontId="26" fillId="0" borderId="2" xfId="0" applyNumberFormat="1" applyFont="1" applyFill="1" applyBorder="1" applyAlignment="1">
      <alignment horizontal="right" vertical="center"/>
    </xf>
    <xf numFmtId="177" fontId="26" fillId="0" borderId="2" xfId="0" applyNumberFormat="1" applyFont="1" applyFill="1" applyBorder="1" applyAlignment="1">
      <alignment horizontal="right" vertical="center"/>
    </xf>
    <xf numFmtId="177" fontId="25" fillId="0" borderId="2" xfId="0" applyNumberFormat="1" applyFont="1" applyFill="1" applyBorder="1" applyAlignment="1">
      <alignment horizontal="right" vertical="center"/>
    </xf>
    <xf numFmtId="9" fontId="25" fillId="0" borderId="2" xfId="10" applyFont="1" applyFill="1" applyBorder="1" applyAlignment="1">
      <alignment horizontal="right" vertical="center"/>
    </xf>
    <xf numFmtId="9" fontId="26" fillId="0" borderId="2" xfId="10" applyFont="1" applyFill="1" applyBorder="1" applyAlignment="1">
      <alignment horizontal="right" vertical="center"/>
    </xf>
    <xf numFmtId="174" fontId="26" fillId="0" borderId="10" xfId="0" applyNumberFormat="1" applyFont="1" applyFill="1" applyBorder="1" applyAlignment="1">
      <alignment horizontal="right" vertical="center"/>
    </xf>
    <xf numFmtId="177" fontId="26" fillId="0" borderId="10" xfId="0" applyNumberFormat="1" applyFont="1" applyFill="1" applyBorder="1" applyAlignment="1">
      <alignment horizontal="right" vertical="center"/>
    </xf>
    <xf numFmtId="177" fontId="25" fillId="0" borderId="10" xfId="0" applyNumberFormat="1" applyFont="1" applyFill="1" applyBorder="1" applyAlignment="1">
      <alignment horizontal="right" vertical="center"/>
    </xf>
    <xf numFmtId="9" fontId="25" fillId="0" borderId="10" xfId="10" applyFont="1" applyFill="1" applyBorder="1" applyAlignment="1">
      <alignment horizontal="right" vertical="center"/>
    </xf>
    <xf numFmtId="9" fontId="26" fillId="0" borderId="10" xfId="10" applyFont="1" applyFill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169" fontId="7" fillId="5" borderId="15" xfId="0" applyNumberFormat="1" applyFont="1" applyFill="1" applyBorder="1" applyAlignment="1">
      <alignment vertical="top"/>
    </xf>
    <xf numFmtId="169" fontId="28" fillId="5" borderId="1" xfId="0" applyNumberFormat="1" applyFont="1" applyFill="1" applyBorder="1" applyAlignment="1">
      <alignment horizontal="right" vertical="center"/>
    </xf>
    <xf numFmtId="178" fontId="28" fillId="5" borderId="1" xfId="9" applyNumberFormat="1" applyFont="1" applyFill="1" applyBorder="1" applyAlignment="1">
      <alignment horizontal="right" vertical="center"/>
    </xf>
    <xf numFmtId="178" fontId="27" fillId="5" borderId="1" xfId="9" applyNumberFormat="1" applyFont="1" applyFill="1" applyBorder="1" applyAlignment="1">
      <alignment horizontal="right" vertical="center"/>
    </xf>
    <xf numFmtId="178" fontId="28" fillId="5" borderId="1" xfId="0" applyNumberFormat="1" applyFont="1" applyFill="1" applyBorder="1" applyAlignment="1">
      <alignment horizontal="right" vertical="center"/>
    </xf>
    <xf numFmtId="9" fontId="27" fillId="5" borderId="1" xfId="10" applyFont="1" applyFill="1" applyBorder="1" applyAlignment="1">
      <alignment horizontal="right" vertical="center"/>
    </xf>
    <xf numFmtId="9" fontId="28" fillId="5" borderId="1" xfId="10" applyFont="1" applyFill="1" applyBorder="1" applyAlignment="1">
      <alignment horizontal="right" vertical="center"/>
    </xf>
    <xf numFmtId="174" fontId="28" fillId="5" borderId="1" xfId="0" applyNumberFormat="1" applyFont="1" applyFill="1" applyBorder="1" applyAlignment="1">
      <alignment horizontal="right" vertical="center"/>
    </xf>
    <xf numFmtId="177" fontId="28" fillId="5" borderId="1" xfId="0" applyNumberFormat="1" applyFont="1" applyFill="1" applyBorder="1" applyAlignment="1">
      <alignment horizontal="right" vertical="center"/>
    </xf>
    <xf numFmtId="174" fontId="26" fillId="5" borderId="16" xfId="0" applyNumberFormat="1" applyFont="1" applyFill="1" applyBorder="1" applyAlignment="1">
      <alignment horizontal="right" vertical="center"/>
    </xf>
    <xf numFmtId="177" fontId="26" fillId="5" borderId="16" xfId="0" applyNumberFormat="1" applyFont="1" applyFill="1" applyBorder="1" applyAlignment="1">
      <alignment horizontal="right" vertical="center"/>
    </xf>
    <xf numFmtId="177" fontId="25" fillId="5" borderId="16" xfId="0" applyNumberFormat="1" applyFont="1" applyFill="1" applyBorder="1" applyAlignment="1">
      <alignment horizontal="right" vertical="center"/>
    </xf>
    <xf numFmtId="9" fontId="25" fillId="5" borderId="16" xfId="10" applyFont="1" applyFill="1" applyBorder="1" applyAlignment="1">
      <alignment horizontal="right" vertical="center"/>
    </xf>
    <xf numFmtId="9" fontId="26" fillId="5" borderId="16" xfId="10" applyFont="1" applyFill="1" applyBorder="1" applyAlignment="1">
      <alignment horizontal="right" vertical="center"/>
    </xf>
    <xf numFmtId="1" fontId="24" fillId="0" borderId="9" xfId="7" applyNumberFormat="1" applyFont="1" applyFill="1" applyBorder="1" applyAlignment="1">
      <alignment horizontal="center" vertical="center"/>
    </xf>
    <xf numFmtId="177" fontId="26" fillId="5" borderId="10" xfId="0" applyNumberFormat="1" applyFont="1" applyFill="1" applyBorder="1" applyAlignment="1">
      <alignment horizontal="right" vertical="center"/>
    </xf>
    <xf numFmtId="177" fontId="25" fillId="5" borderId="10" xfId="0" applyNumberFormat="1" applyFont="1" applyFill="1" applyBorder="1" applyAlignment="1">
      <alignment horizontal="right" vertical="center"/>
    </xf>
    <xf numFmtId="9" fontId="25" fillId="5" borderId="10" xfId="10" applyFont="1" applyFill="1" applyBorder="1" applyAlignment="1">
      <alignment horizontal="right" vertical="center"/>
    </xf>
    <xf numFmtId="9" fontId="26" fillId="5" borderId="10" xfId="10" applyFont="1" applyFill="1" applyBorder="1" applyAlignment="1">
      <alignment horizontal="right" vertical="center"/>
    </xf>
    <xf numFmtId="169" fontId="26" fillId="5" borderId="1" xfId="0" applyNumberFormat="1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174" fontId="7" fillId="0" borderId="0" xfId="0" applyNumberFormat="1" applyFont="1"/>
    <xf numFmtId="0" fontId="7" fillId="5" borderId="3" xfId="0" applyFont="1" applyFill="1" applyBorder="1" applyAlignment="1">
      <alignment horizontal="centerContinuous"/>
    </xf>
    <xf numFmtId="0" fontId="7" fillId="5" borderId="4" xfId="0" applyFont="1" applyFill="1" applyBorder="1" applyAlignment="1">
      <alignment horizontal="centerContinuous"/>
    </xf>
    <xf numFmtId="0" fontId="9" fillId="5" borderId="4" xfId="0" applyFont="1" applyFill="1" applyBorder="1" applyAlignment="1">
      <alignment horizontal="centerContinuous"/>
    </xf>
    <xf numFmtId="0" fontId="7" fillId="5" borderId="5" xfId="0" applyFont="1" applyFill="1" applyBorder="1" applyAlignment="1">
      <alignment horizontal="centerContinuous"/>
    </xf>
    <xf numFmtId="166" fontId="8" fillId="5" borderId="1" xfId="0" applyNumberFormat="1" applyFont="1" applyFill="1" applyBorder="1" applyAlignment="1">
      <alignment vertical="top"/>
    </xf>
    <xf numFmtId="174" fontId="25" fillId="5" borderId="15" xfId="0" applyNumberFormat="1" applyFont="1" applyFill="1" applyBorder="1" applyAlignment="1">
      <alignment horizontal="right" vertical="center"/>
    </xf>
    <xf numFmtId="179" fontId="25" fillId="5" borderId="15" xfId="0" applyNumberFormat="1" applyFont="1" applyFill="1" applyBorder="1" applyAlignment="1">
      <alignment horizontal="right" vertical="center"/>
    </xf>
    <xf numFmtId="179" fontId="25" fillId="5" borderId="1" xfId="0" applyNumberFormat="1" applyFont="1" applyFill="1" applyBorder="1" applyAlignment="1">
      <alignment horizontal="right" vertical="center"/>
    </xf>
    <xf numFmtId="179" fontId="26" fillId="5" borderId="1" xfId="0" applyNumberFormat="1" applyFont="1" applyFill="1" applyBorder="1" applyAlignment="1">
      <alignment horizontal="right" vertical="center"/>
    </xf>
    <xf numFmtId="172" fontId="25" fillId="5" borderId="15" xfId="10" applyNumberFormat="1" applyFont="1" applyFill="1" applyBorder="1" applyAlignment="1">
      <alignment horizontal="right" vertical="center"/>
    </xf>
    <xf numFmtId="172" fontId="25" fillId="5" borderId="1" xfId="10" applyNumberFormat="1" applyFont="1" applyFill="1" applyBorder="1" applyAlignment="1">
      <alignment horizontal="right" vertical="center"/>
    </xf>
    <xf numFmtId="172" fontId="26" fillId="5" borderId="1" xfId="10" applyNumberFormat="1" applyFont="1" applyFill="1" applyBorder="1" applyAlignment="1">
      <alignment horizontal="right" vertical="center"/>
    </xf>
    <xf numFmtId="179" fontId="25" fillId="0" borderId="2" xfId="0" applyNumberFormat="1" applyFont="1" applyFill="1" applyBorder="1" applyAlignment="1">
      <alignment horizontal="right" vertical="center"/>
    </xf>
    <xf numFmtId="179" fontId="26" fillId="0" borderId="2" xfId="0" applyNumberFormat="1" applyFont="1" applyFill="1" applyBorder="1" applyAlignment="1">
      <alignment horizontal="right" vertical="center"/>
    </xf>
    <xf numFmtId="172" fontId="25" fillId="0" borderId="2" xfId="10" applyNumberFormat="1" applyFont="1" applyFill="1" applyBorder="1" applyAlignment="1">
      <alignment horizontal="right" vertical="center"/>
    </xf>
    <xf numFmtId="172" fontId="26" fillId="0" borderId="2" xfId="10" applyNumberFormat="1" applyFont="1" applyFill="1" applyBorder="1" applyAlignment="1">
      <alignment horizontal="right" vertical="center"/>
    </xf>
    <xf numFmtId="179" fontId="25" fillId="0" borderId="10" xfId="0" applyNumberFormat="1" applyFont="1" applyFill="1" applyBorder="1" applyAlignment="1">
      <alignment horizontal="right" vertical="center"/>
    </xf>
    <xf numFmtId="179" fontId="26" fillId="0" borderId="10" xfId="0" applyNumberFormat="1" applyFont="1" applyFill="1" applyBorder="1" applyAlignment="1">
      <alignment horizontal="right" vertical="center"/>
    </xf>
    <xf numFmtId="172" fontId="25" fillId="0" borderId="10" xfId="10" applyNumberFormat="1" applyFont="1" applyFill="1" applyBorder="1" applyAlignment="1">
      <alignment horizontal="right" vertical="center"/>
    </xf>
    <xf numFmtId="172" fontId="26" fillId="0" borderId="10" xfId="10" applyNumberFormat="1" applyFont="1" applyFill="1" applyBorder="1" applyAlignment="1">
      <alignment horizontal="right" vertical="center"/>
    </xf>
    <xf numFmtId="169" fontId="25" fillId="5" borderId="15" xfId="0" applyNumberFormat="1" applyFont="1" applyFill="1" applyBorder="1" applyAlignment="1">
      <alignment horizontal="right" vertical="center"/>
    </xf>
    <xf numFmtId="172" fontId="27" fillId="5" borderId="15" xfId="10" applyNumberFormat="1" applyFont="1" applyFill="1" applyBorder="1" applyAlignment="1">
      <alignment horizontal="right" vertical="center"/>
    </xf>
    <xf numFmtId="172" fontId="27" fillId="5" borderId="1" xfId="10" applyNumberFormat="1" applyFont="1" applyFill="1" applyBorder="1" applyAlignment="1">
      <alignment horizontal="right" vertical="center"/>
    </xf>
    <xf numFmtId="172" fontId="28" fillId="5" borderId="1" xfId="10" applyNumberFormat="1" applyFont="1" applyFill="1" applyBorder="1" applyAlignment="1">
      <alignment horizontal="right" vertical="center"/>
    </xf>
    <xf numFmtId="179" fontId="28" fillId="5" borderId="1" xfId="0" applyNumberFormat="1" applyFont="1" applyFill="1" applyBorder="1" applyAlignment="1">
      <alignment horizontal="right" vertical="center"/>
    </xf>
    <xf numFmtId="179" fontId="25" fillId="5" borderId="16" xfId="0" applyNumberFormat="1" applyFont="1" applyFill="1" applyBorder="1" applyAlignment="1">
      <alignment horizontal="right" vertical="center"/>
    </xf>
    <xf numFmtId="179" fontId="26" fillId="5" borderId="16" xfId="0" applyNumberFormat="1" applyFont="1" applyFill="1" applyBorder="1" applyAlignment="1">
      <alignment horizontal="right" vertical="center"/>
    </xf>
    <xf numFmtId="172" fontId="25" fillId="5" borderId="16" xfId="10" applyNumberFormat="1" applyFont="1" applyFill="1" applyBorder="1" applyAlignment="1">
      <alignment horizontal="right" vertical="center"/>
    </xf>
    <xf numFmtId="172" fontId="26" fillId="5" borderId="16" xfId="10" applyNumberFormat="1" applyFont="1" applyFill="1" applyBorder="1" applyAlignment="1">
      <alignment horizontal="right" vertical="center"/>
    </xf>
    <xf numFmtId="179" fontId="25" fillId="5" borderId="9" xfId="0" applyNumberFormat="1" applyFont="1" applyFill="1" applyBorder="1" applyAlignment="1">
      <alignment horizontal="right" vertical="center"/>
    </xf>
    <xf numFmtId="179" fontId="25" fillId="5" borderId="10" xfId="0" applyNumberFormat="1" applyFont="1" applyFill="1" applyBorder="1" applyAlignment="1">
      <alignment horizontal="right" vertical="center"/>
    </xf>
    <xf numFmtId="179" fontId="26" fillId="5" borderId="10" xfId="0" applyNumberFormat="1" applyFont="1" applyFill="1" applyBorder="1" applyAlignment="1">
      <alignment horizontal="right" vertical="center"/>
    </xf>
    <xf numFmtId="172" fontId="25" fillId="5" borderId="9" xfId="10" applyNumberFormat="1" applyFont="1" applyFill="1" applyBorder="1" applyAlignment="1">
      <alignment horizontal="right" vertical="center"/>
    </xf>
    <xf numFmtId="172" fontId="25" fillId="5" borderId="10" xfId="10" applyNumberFormat="1" applyFont="1" applyFill="1" applyBorder="1" applyAlignment="1">
      <alignment horizontal="right" vertical="center"/>
    </xf>
    <xf numFmtId="172" fontId="26" fillId="5" borderId="10" xfId="10" applyNumberFormat="1" applyFont="1" applyFill="1" applyBorder="1" applyAlignment="1">
      <alignment horizontal="right" vertical="center"/>
    </xf>
    <xf numFmtId="174" fontId="9" fillId="0" borderId="0" xfId="0" applyNumberFormat="1" applyFont="1"/>
    <xf numFmtId="0" fontId="29" fillId="0" borderId="0" xfId="3" applyFont="1"/>
    <xf numFmtId="0" fontId="32" fillId="0" borderId="0" xfId="0" applyFont="1"/>
    <xf numFmtId="0" fontId="7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0" fontId="23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2" xfId="0" applyFont="1" applyFill="1" applyBorder="1" applyAlignment="1">
      <alignment wrapText="1"/>
    </xf>
    <xf numFmtId="0" fontId="23" fillId="0" borderId="1" xfId="0" applyFont="1" applyBorder="1" applyAlignment="1">
      <alignment vertical="center"/>
    </xf>
    <xf numFmtId="9" fontId="26" fillId="5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0" fontId="9" fillId="0" borderId="0" xfId="0" applyFont="1" applyFill="1" applyBorder="1"/>
    <xf numFmtId="180" fontId="26" fillId="5" borderId="1" xfId="0" applyNumberFormat="1" applyFont="1" applyFill="1" applyBorder="1" applyAlignment="1">
      <alignment horizontal="right" vertical="center"/>
    </xf>
    <xf numFmtId="180" fontId="26" fillId="6" borderId="1" xfId="0" applyNumberFormat="1" applyFont="1" applyFill="1" applyBorder="1" applyAlignment="1">
      <alignment horizontal="right" vertical="center"/>
    </xf>
    <xf numFmtId="180" fontId="7" fillId="5" borderId="1" xfId="5" applyNumberFormat="1" applyFont="1" applyFill="1" applyBorder="1"/>
    <xf numFmtId="180" fontId="7" fillId="4" borderId="1" xfId="5" applyNumberFormat="1" applyFont="1" applyFill="1" applyBorder="1"/>
    <xf numFmtId="180" fontId="26" fillId="5" borderId="1" xfId="5" applyNumberFormat="1" applyFont="1" applyFill="1" applyBorder="1" applyAlignment="1">
      <alignment horizontal="right" vertical="center"/>
    </xf>
    <xf numFmtId="0" fontId="7" fillId="0" borderId="0" xfId="11" applyFont="1" applyBorder="1" applyAlignment="1" applyProtection="1">
      <alignment wrapText="1"/>
    </xf>
    <xf numFmtId="0" fontId="9" fillId="5" borderId="1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8" fillId="0" borderId="1" xfId="11" applyFont="1" applyBorder="1" applyAlignment="1" applyProtection="1">
      <alignment wrapText="1"/>
    </xf>
    <xf numFmtId="3" fontId="8" fillId="5" borderId="2" xfId="12" applyNumberFormat="1" applyFont="1" applyFill="1" applyBorder="1" applyAlignment="1">
      <alignment horizontal="right"/>
    </xf>
    <xf numFmtId="3" fontId="8" fillId="6" borderId="2" xfId="12" applyNumberFormat="1" applyFont="1" applyFill="1" applyBorder="1" applyAlignment="1">
      <alignment horizontal="right"/>
    </xf>
    <xf numFmtId="0" fontId="7" fillId="0" borderId="12" xfId="11" applyFont="1" applyFill="1" applyBorder="1" applyAlignment="1" applyProtection="1">
      <alignment wrapText="1"/>
    </xf>
    <xf numFmtId="0" fontId="33" fillId="0" borderId="12" xfId="11" applyFont="1" applyFill="1" applyBorder="1" applyAlignment="1">
      <alignment wrapText="1"/>
    </xf>
    <xf numFmtId="3" fontId="8" fillId="6" borderId="10" xfId="12" applyNumberFormat="1" applyFont="1" applyFill="1" applyBorder="1" applyAlignment="1">
      <alignment horizontal="right"/>
    </xf>
    <xf numFmtId="0" fontId="7" fillId="0" borderId="1" xfId="3" applyFont="1" applyBorder="1" applyAlignment="1" applyProtection="1">
      <alignment wrapText="1"/>
      <protection hidden="1"/>
    </xf>
    <xf numFmtId="3" fontId="8" fillId="6" borderId="1" xfId="12" applyNumberFormat="1" applyFont="1" applyFill="1" applyBorder="1" applyAlignment="1">
      <alignment horizontal="right"/>
    </xf>
    <xf numFmtId="0" fontId="8" fillId="0" borderId="1" xfId="3" applyFont="1" applyBorder="1" applyAlignment="1" applyProtection="1">
      <alignment wrapText="1"/>
      <protection hidden="1"/>
    </xf>
    <xf numFmtId="10" fontId="8" fillId="7" borderId="1" xfId="13" applyNumberFormat="1" applyFont="1" applyFill="1" applyBorder="1" applyAlignment="1">
      <alignment horizontal="right"/>
    </xf>
    <xf numFmtId="170" fontId="8" fillId="7" borderId="1" xfId="1" applyNumberFormat="1" applyFont="1" applyFill="1" applyBorder="1" applyAlignment="1">
      <alignment horizontal="right"/>
    </xf>
    <xf numFmtId="0" fontId="7" fillId="0" borderId="6" xfId="11" applyFont="1" applyBorder="1" applyAlignment="1" applyProtection="1">
      <alignment wrapText="1"/>
    </xf>
    <xf numFmtId="0" fontId="33" fillId="0" borderId="6" xfId="11" applyFont="1" applyFill="1" applyBorder="1" applyAlignment="1">
      <alignment wrapText="1"/>
    </xf>
    <xf numFmtId="170" fontId="8" fillId="7" borderId="1" xfId="13" applyNumberFormat="1" applyFont="1" applyFill="1" applyBorder="1" applyAlignment="1">
      <alignment horizontal="right"/>
    </xf>
    <xf numFmtId="170" fontId="7" fillId="4" borderId="1" xfId="1" applyNumberFormat="1" applyFont="1" applyFill="1" applyBorder="1"/>
    <xf numFmtId="9" fontId="7" fillId="6" borderId="1" xfId="1" applyFont="1" applyFill="1" applyBorder="1"/>
    <xf numFmtId="0" fontId="34" fillId="0" borderId="0" xfId="14" applyFont="1" applyAlignment="1">
      <alignment vertical="center" wrapText="1"/>
    </xf>
    <xf numFmtId="0" fontId="35" fillId="0" borderId="2" xfId="15" applyFont="1" applyBorder="1" applyAlignment="1">
      <alignment vertical="center" wrapText="1"/>
    </xf>
    <xf numFmtId="174" fontId="7" fillId="5" borderId="1" xfId="5" applyNumberFormat="1" applyFont="1" applyFill="1" applyBorder="1" applyAlignment="1">
      <alignment vertical="center"/>
    </xf>
    <xf numFmtId="174" fontId="7" fillId="4" borderId="1" xfId="5" applyNumberFormat="1" applyFont="1" applyFill="1" applyBorder="1" applyAlignment="1">
      <alignment vertical="center"/>
    </xf>
    <xf numFmtId="0" fontId="35" fillId="0" borderId="1" xfId="15" applyFont="1" applyBorder="1" applyAlignment="1">
      <alignment vertical="center" wrapText="1"/>
    </xf>
    <xf numFmtId="174" fontId="26" fillId="6" borderId="1" xfId="0" applyNumberFormat="1" applyFont="1" applyFill="1" applyBorder="1" applyAlignment="1">
      <alignment horizontal="right" vertical="center"/>
    </xf>
    <xf numFmtId="174" fontId="7" fillId="5" borderId="1" xfId="5" applyNumberFormat="1" applyFont="1" applyFill="1" applyBorder="1"/>
    <xf numFmtId="9" fontId="35" fillId="5" borderId="1" xfId="0" applyNumberFormat="1" applyFont="1" applyFill="1" applyBorder="1"/>
    <xf numFmtId="9" fontId="7" fillId="5" borderId="1" xfId="1" applyFont="1" applyFill="1" applyBorder="1"/>
    <xf numFmtId="9" fontId="7" fillId="4" borderId="1" xfId="1" applyFont="1" applyFill="1" applyBorder="1"/>
    <xf numFmtId="0" fontId="35" fillId="5" borderId="1" xfId="0" applyFont="1" applyFill="1" applyBorder="1" applyAlignment="1">
      <alignment wrapText="1"/>
    </xf>
    <xf numFmtId="0" fontId="9" fillId="5" borderId="9" xfId="0" applyFont="1" applyFill="1" applyBorder="1" applyAlignment="1">
      <alignment horizontal="center" vertical="center"/>
    </xf>
    <xf numFmtId="170" fontId="26" fillId="5" borderId="1" xfId="1" applyNumberFormat="1" applyFont="1" applyFill="1" applyBorder="1" applyAlignment="1">
      <alignment horizontal="right" vertical="center"/>
    </xf>
    <xf numFmtId="181" fontId="26" fillId="5" borderId="1" xfId="0" applyNumberFormat="1" applyFont="1" applyFill="1" applyBorder="1" applyAlignment="1">
      <alignment horizontal="right" vertical="center"/>
    </xf>
    <xf numFmtId="170" fontId="26" fillId="5" borderId="1" xfId="13" applyNumberFormat="1" applyFont="1" applyFill="1" applyBorder="1" applyAlignment="1">
      <alignment horizontal="right" vertical="center"/>
    </xf>
    <xf numFmtId="10" fontId="26" fillId="5" borderId="1" xfId="1" applyNumberFormat="1" applyFont="1" applyFill="1" applyBorder="1" applyAlignment="1">
      <alignment horizontal="right" vertical="center"/>
    </xf>
    <xf numFmtId="0" fontId="6" fillId="0" borderId="0" xfId="11" applyFont="1" applyFill="1" applyBorder="1" applyAlignment="1" applyProtection="1">
      <alignment horizontal="left"/>
    </xf>
    <xf numFmtId="0" fontId="7" fillId="0" borderId="0" xfId="15" applyFont="1"/>
    <xf numFmtId="0" fontId="13" fillId="5" borderId="10" xfId="15" applyFont="1" applyFill="1" applyBorder="1" applyAlignment="1">
      <alignment horizontal="center" vertical="center" wrapText="1"/>
    </xf>
    <xf numFmtId="180" fontId="9" fillId="5" borderId="1" xfId="5" applyNumberFormat="1" applyFont="1" applyFill="1" applyBorder="1" applyAlignment="1">
      <alignment horizontal="center" vertical="center" wrapText="1"/>
    </xf>
    <xf numFmtId="0" fontId="38" fillId="0" borderId="0" xfId="16" applyAlignment="1" applyProtection="1"/>
    <xf numFmtId="174" fontId="26" fillId="6" borderId="0" xfId="0" applyNumberFormat="1" applyFont="1" applyFill="1" applyBorder="1" applyAlignment="1">
      <alignment horizontal="right" vertical="center"/>
    </xf>
    <xf numFmtId="174" fontId="26" fillId="6" borderId="1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vertical="center"/>
    </xf>
    <xf numFmtId="0" fontId="0" fillId="0" borderId="0" xfId="0" applyFill="1"/>
    <xf numFmtId="9" fontId="26" fillId="5" borderId="1" xfId="13" applyFont="1" applyFill="1" applyBorder="1" applyAlignment="1">
      <alignment horizontal="right" vertical="center"/>
    </xf>
    <xf numFmtId="182" fontId="26" fillId="6" borderId="0" xfId="0" applyNumberFormat="1" applyFont="1" applyFill="1" applyBorder="1" applyAlignment="1">
      <alignment horizontal="right" vertical="center"/>
    </xf>
    <xf numFmtId="182" fontId="26" fillId="6" borderId="17" xfId="0" applyNumberFormat="1" applyFont="1" applyFill="1" applyBorder="1" applyAlignment="1">
      <alignment horizontal="right" vertical="center"/>
    </xf>
    <xf numFmtId="182" fontId="26" fillId="5" borderId="1" xfId="0" applyNumberFormat="1" applyFont="1" applyFill="1" applyBorder="1" applyAlignment="1">
      <alignment horizontal="right" vertical="center"/>
    </xf>
    <xf numFmtId="170" fontId="7" fillId="0" borderId="0" xfId="1" applyNumberFormat="1" applyFont="1"/>
    <xf numFmtId="9" fontId="0" fillId="0" borderId="0" xfId="1" applyFont="1"/>
    <xf numFmtId="10" fontId="0" fillId="0" borderId="0" xfId="1" applyNumberFormat="1" applyFont="1"/>
    <xf numFmtId="0" fontId="7" fillId="0" borderId="0" xfId="17" applyFont="1" applyProtection="1">
      <protection hidden="1"/>
    </xf>
    <xf numFmtId="0" fontId="7" fillId="0" borderId="0" xfId="17" applyFont="1"/>
    <xf numFmtId="0" fontId="4" fillId="0" borderId="0" xfId="18" applyFont="1" applyProtection="1"/>
    <xf numFmtId="0" fontId="8" fillId="8" borderId="0" xfId="17" applyFont="1" applyFill="1" applyAlignment="1" applyProtection="1">
      <protection hidden="1"/>
    </xf>
    <xf numFmtId="0" fontId="8" fillId="8" borderId="0" xfId="17" applyFont="1" applyFill="1" applyBorder="1" applyAlignment="1" applyProtection="1">
      <alignment horizontal="center"/>
      <protection hidden="1"/>
    </xf>
    <xf numFmtId="0" fontId="8" fillId="9" borderId="0" xfId="17" applyFont="1" applyFill="1" applyBorder="1" applyProtection="1">
      <protection hidden="1"/>
    </xf>
    <xf numFmtId="0" fontId="7" fillId="9" borderId="0" xfId="17" applyFont="1" applyFill="1" applyProtection="1">
      <protection hidden="1"/>
    </xf>
    <xf numFmtId="0" fontId="8" fillId="0" borderId="1" xfId="17" applyFont="1" applyFill="1" applyBorder="1" applyAlignment="1" applyProtection="1">
      <alignment horizontal="center"/>
      <protection hidden="1"/>
    </xf>
    <xf numFmtId="0" fontId="14" fillId="0" borderId="1" xfId="17" applyFont="1" applyBorder="1" applyAlignment="1">
      <alignment horizontal="center"/>
    </xf>
    <xf numFmtId="0" fontId="21" fillId="0" borderId="13" xfId="17" applyFont="1" applyBorder="1" applyProtection="1">
      <protection hidden="1"/>
    </xf>
    <xf numFmtId="0" fontId="21" fillId="0" borderId="14" xfId="17" applyFont="1" applyBorder="1" applyProtection="1">
      <protection hidden="1"/>
    </xf>
    <xf numFmtId="0" fontId="21" fillId="0" borderId="15" xfId="17" applyFont="1" applyBorder="1" applyProtection="1">
      <protection hidden="1"/>
    </xf>
    <xf numFmtId="3" fontId="21" fillId="10" borderId="1" xfId="17" applyNumberFormat="1" applyFont="1" applyFill="1" applyBorder="1" applyAlignment="1" applyProtection="1">
      <protection locked="0"/>
    </xf>
    <xf numFmtId="0" fontId="14" fillId="0" borderId="0" xfId="17" applyFont="1" applyFill="1" applyBorder="1" applyAlignment="1" applyProtection="1">
      <alignment horizontal="center"/>
      <protection hidden="1"/>
    </xf>
    <xf numFmtId="0" fontId="7" fillId="0" borderId="13" xfId="17" applyFont="1" applyBorder="1" applyProtection="1">
      <protection hidden="1"/>
    </xf>
    <xf numFmtId="0" fontId="7" fillId="0" borderId="14" xfId="17" applyFont="1" applyBorder="1" applyProtection="1">
      <protection hidden="1"/>
    </xf>
    <xf numFmtId="0" fontId="7" fillId="0" borderId="15" xfId="17" applyFont="1" applyBorder="1" applyProtection="1">
      <protection hidden="1"/>
    </xf>
    <xf numFmtId="3" fontId="7" fillId="10" borderId="1" xfId="17" applyNumberFormat="1" applyFont="1" applyFill="1" applyBorder="1" applyAlignment="1" applyProtection="1">
      <protection locked="0"/>
    </xf>
    <xf numFmtId="183" fontId="7" fillId="3" borderId="1" xfId="17" applyNumberFormat="1" applyFont="1" applyFill="1" applyBorder="1" applyAlignment="1" applyProtection="1">
      <protection hidden="1"/>
    </xf>
    <xf numFmtId="183" fontId="21" fillId="10" borderId="1" xfId="17" applyNumberFormat="1" applyFont="1" applyFill="1" applyBorder="1" applyAlignment="1" applyProtection="1">
      <protection locked="0"/>
    </xf>
    <xf numFmtId="183" fontId="7" fillId="3" borderId="1" xfId="17" applyNumberFormat="1" applyFont="1" applyFill="1" applyBorder="1" applyAlignment="1" applyProtection="1">
      <protection locked="0"/>
    </xf>
    <xf numFmtId="0" fontId="8" fillId="0" borderId="13" xfId="17" applyFont="1" applyBorder="1" applyProtection="1">
      <protection hidden="1"/>
    </xf>
    <xf numFmtId="183" fontId="8" fillId="3" borderId="1" xfId="17" applyNumberFormat="1" applyFont="1" applyFill="1" applyBorder="1" applyAlignment="1" applyProtection="1">
      <protection hidden="1"/>
    </xf>
    <xf numFmtId="183" fontId="14" fillId="3" borderId="1" xfId="17" applyNumberFormat="1" applyFont="1" applyFill="1" applyBorder="1" applyAlignment="1" applyProtection="1">
      <protection hidden="1"/>
    </xf>
    <xf numFmtId="0" fontId="14" fillId="0" borderId="13" xfId="17" applyFont="1" applyBorder="1" applyProtection="1">
      <protection hidden="1"/>
    </xf>
    <xf numFmtId="9" fontId="14" fillId="3" borderId="1" xfId="1" applyFont="1" applyFill="1" applyBorder="1" applyAlignment="1" applyProtection="1">
      <protection hidden="1"/>
    </xf>
    <xf numFmtId="183" fontId="14" fillId="0" borderId="0" xfId="17" applyNumberFormat="1" applyFont="1" applyFill="1" applyBorder="1" applyAlignment="1" applyProtection="1">
      <protection hidden="1"/>
    </xf>
    <xf numFmtId="0" fontId="21" fillId="0" borderId="0" xfId="17" applyFont="1"/>
    <xf numFmtId="183" fontId="14" fillId="0" borderId="1" xfId="17" applyNumberFormat="1" applyFont="1" applyFill="1" applyBorder="1" applyAlignment="1" applyProtection="1">
      <protection hidden="1"/>
    </xf>
    <xf numFmtId="0" fontId="8" fillId="0" borderId="14" xfId="17" applyFont="1" applyBorder="1" applyProtection="1">
      <protection hidden="1"/>
    </xf>
    <xf numFmtId="0" fontId="8" fillId="0" borderId="15" xfId="17" applyFont="1" applyBorder="1" applyProtection="1">
      <protection hidden="1"/>
    </xf>
    <xf numFmtId="0" fontId="8" fillId="8" borderId="4" xfId="17" applyFont="1" applyFill="1" applyBorder="1" applyAlignment="1" applyProtection="1">
      <protection hidden="1"/>
    </xf>
    <xf numFmtId="0" fontId="7" fillId="0" borderId="0" xfId="17" applyFont="1" applyBorder="1" applyProtection="1">
      <protection hidden="1"/>
    </xf>
    <xf numFmtId="183" fontId="21" fillId="3" borderId="1" xfId="17" applyNumberFormat="1" applyFont="1" applyFill="1" applyBorder="1" applyAlignment="1" applyProtection="1">
      <protection hidden="1"/>
    </xf>
    <xf numFmtId="0" fontId="7" fillId="9" borderId="0" xfId="17" applyFont="1" applyFill="1" applyBorder="1" applyProtection="1">
      <protection hidden="1"/>
    </xf>
    <xf numFmtId="0" fontId="8" fillId="0" borderId="0" xfId="17" applyFont="1" applyProtection="1">
      <protection hidden="1"/>
    </xf>
    <xf numFmtId="3" fontId="7" fillId="3" borderId="2" xfId="17" applyNumberFormat="1" applyFont="1" applyFill="1" applyBorder="1" applyAlignment="1" applyProtection="1">
      <protection hidden="1"/>
    </xf>
    <xf numFmtId="0" fontId="8" fillId="9" borderId="13" xfId="17" applyFont="1" applyFill="1" applyBorder="1" applyProtection="1">
      <protection hidden="1"/>
    </xf>
    <xf numFmtId="0" fontId="7" fillId="9" borderId="14" xfId="17" applyFont="1" applyFill="1" applyBorder="1" applyProtection="1">
      <protection hidden="1"/>
    </xf>
    <xf numFmtId="0" fontId="7" fillId="0" borderId="5" xfId="17" applyFont="1" applyBorder="1" applyProtection="1">
      <protection hidden="1"/>
    </xf>
    <xf numFmtId="183" fontId="7" fillId="3" borderId="2" xfId="17" applyNumberFormat="1" applyFont="1" applyFill="1" applyBorder="1" applyAlignment="1" applyProtection="1">
      <protection hidden="1"/>
    </xf>
    <xf numFmtId="0" fontId="7" fillId="0" borderId="14" xfId="17" applyFont="1" applyBorder="1" applyAlignment="1" applyProtection="1">
      <protection hidden="1"/>
    </xf>
    <xf numFmtId="0" fontId="21" fillId="0" borderId="14" xfId="17" applyFont="1" applyBorder="1" applyAlignment="1" applyProtection="1">
      <protection hidden="1"/>
    </xf>
    <xf numFmtId="0" fontId="8" fillId="0" borderId="9" xfId="17" applyFont="1" applyBorder="1" applyProtection="1">
      <protection hidden="1"/>
    </xf>
    <xf numFmtId="183" fontId="8" fillId="3" borderId="10" xfId="17" applyNumberFormat="1" applyFont="1" applyFill="1" applyBorder="1" applyAlignment="1" applyProtection="1">
      <protection hidden="1"/>
    </xf>
    <xf numFmtId="183" fontId="14" fillId="3" borderId="10" xfId="17" applyNumberFormat="1" applyFont="1" applyFill="1" applyBorder="1" applyAlignment="1" applyProtection="1">
      <protection hidden="1"/>
    </xf>
    <xf numFmtId="0" fontId="8" fillId="0" borderId="0" xfId="17" applyFont="1" applyBorder="1" applyProtection="1">
      <protection hidden="1"/>
    </xf>
    <xf numFmtId="183" fontId="8" fillId="0" borderId="0" xfId="17" applyNumberFormat="1" applyFont="1" applyBorder="1" applyProtection="1">
      <protection hidden="1"/>
    </xf>
    <xf numFmtId="0" fontId="8" fillId="8" borderId="0" xfId="17" applyFont="1" applyFill="1" applyBorder="1" applyAlignment="1" applyProtection="1">
      <protection hidden="1"/>
    </xf>
    <xf numFmtId="0" fontId="8" fillId="0" borderId="0" xfId="17" applyFont="1" applyFill="1" applyBorder="1" applyProtection="1">
      <protection hidden="1"/>
    </xf>
    <xf numFmtId="0" fontId="14" fillId="0" borderId="1" xfId="17" applyFont="1" applyBorder="1" applyAlignment="1">
      <alignment horizontal="center" wrapText="1"/>
    </xf>
    <xf numFmtId="0" fontId="7" fillId="0" borderId="13" xfId="17" applyFont="1" applyFill="1" applyBorder="1" applyProtection="1">
      <protection hidden="1"/>
    </xf>
    <xf numFmtId="0" fontId="8" fillId="0" borderId="14" xfId="17" applyFont="1" applyFill="1" applyBorder="1" applyProtection="1">
      <protection hidden="1"/>
    </xf>
    <xf numFmtId="0" fontId="8" fillId="0" borderId="15" xfId="17" applyFont="1" applyFill="1" applyBorder="1" applyProtection="1">
      <protection hidden="1"/>
    </xf>
    <xf numFmtId="3" fontId="7" fillId="3" borderId="1" xfId="17" applyNumberFormat="1" applyFont="1" applyFill="1" applyBorder="1" applyAlignment="1" applyProtection="1">
      <protection hidden="1"/>
    </xf>
    <xf numFmtId="0" fontId="8" fillId="0" borderId="13" xfId="17" applyFont="1" applyFill="1" applyBorder="1" applyProtection="1">
      <protection hidden="1"/>
    </xf>
    <xf numFmtId="183" fontId="7" fillId="10" borderId="1" xfId="17" applyNumberFormat="1" applyFont="1" applyFill="1" applyBorder="1" applyAlignment="1" applyProtection="1">
      <protection locked="0"/>
    </xf>
    <xf numFmtId="184" fontId="8" fillId="0" borderId="0" xfId="17" applyNumberFormat="1" applyFont="1" applyBorder="1" applyProtection="1"/>
    <xf numFmtId="0" fontId="7" fillId="0" borderId="0" xfId="17" applyFont="1" applyFill="1" applyProtection="1">
      <protection hidden="1"/>
    </xf>
    <xf numFmtId="0" fontId="7" fillId="0" borderId="14" xfId="17" applyFont="1" applyFill="1" applyBorder="1" applyProtection="1">
      <protection hidden="1"/>
    </xf>
    <xf numFmtId="0" fontId="7" fillId="0" borderId="15" xfId="17" applyFont="1" applyFill="1" applyBorder="1" applyProtection="1">
      <protection hidden="1"/>
    </xf>
    <xf numFmtId="0" fontId="7" fillId="0" borderId="0" xfId="17" applyFont="1" applyFill="1" applyBorder="1" applyProtection="1">
      <protection hidden="1"/>
    </xf>
    <xf numFmtId="3" fontId="7" fillId="4" borderId="1" xfId="17" applyNumberFormat="1" applyFont="1" applyFill="1" applyBorder="1" applyAlignment="1" applyProtection="1">
      <protection locked="0"/>
    </xf>
    <xf numFmtId="167" fontId="7" fillId="4" borderId="1" xfId="17" applyNumberFormat="1" applyFont="1" applyFill="1" applyBorder="1" applyAlignment="1" applyProtection="1">
      <protection locked="0"/>
    </xf>
    <xf numFmtId="183" fontId="7" fillId="4" borderId="1" xfId="17" applyNumberFormat="1" applyFont="1" applyFill="1" applyBorder="1" applyAlignment="1" applyProtection="1">
      <protection locked="0"/>
    </xf>
    <xf numFmtId="1" fontId="7" fillId="4" borderId="1" xfId="17" applyNumberFormat="1" applyFont="1" applyFill="1" applyBorder="1" applyAlignment="1" applyProtection="1">
      <protection locked="0"/>
    </xf>
    <xf numFmtId="184" fontId="8" fillId="0" borderId="1" xfId="17" applyNumberFormat="1" applyFont="1" applyBorder="1" applyProtection="1"/>
    <xf numFmtId="4" fontId="7" fillId="4" borderId="1" xfId="17" applyNumberFormat="1" applyFont="1" applyFill="1" applyBorder="1" applyAlignment="1" applyProtection="1">
      <protection locked="0"/>
    </xf>
    <xf numFmtId="184" fontId="8" fillId="0" borderId="1" xfId="17" applyNumberFormat="1" applyFont="1" applyFill="1" applyBorder="1" applyProtection="1"/>
    <xf numFmtId="0" fontId="7" fillId="4" borderId="1" xfId="17" applyFont="1" applyFill="1" applyBorder="1" applyAlignment="1" applyProtection="1">
      <protection locked="0"/>
    </xf>
    <xf numFmtId="0" fontId="8" fillId="9" borderId="0" xfId="17" applyFont="1" applyFill="1" applyProtection="1">
      <protection hidden="1"/>
    </xf>
    <xf numFmtId="4" fontId="7" fillId="3" borderId="1" xfId="17" applyNumberFormat="1" applyFont="1" applyFill="1" applyBorder="1" applyAlignment="1" applyProtection="1">
      <protection hidden="1"/>
    </xf>
    <xf numFmtId="1" fontId="7" fillId="3" borderId="1" xfId="17" applyNumberFormat="1" applyFont="1" applyFill="1" applyBorder="1" applyAlignment="1" applyProtection="1">
      <protection hidden="1"/>
    </xf>
    <xf numFmtId="184" fontId="8" fillId="3" borderId="1" xfId="17" applyNumberFormat="1" applyFont="1" applyFill="1" applyBorder="1" applyAlignment="1" applyProtection="1"/>
    <xf numFmtId="184" fontId="7" fillId="0" borderId="0" xfId="17" applyNumberFormat="1" applyFont="1" applyBorder="1" applyProtection="1">
      <protection hidden="1"/>
    </xf>
    <xf numFmtId="0" fontId="8" fillId="8" borderId="8" xfId="17" applyFont="1" applyFill="1" applyBorder="1" applyAlignment="1" applyProtection="1">
      <alignment vertical="center"/>
      <protection hidden="1"/>
    </xf>
    <xf numFmtId="0" fontId="7" fillId="0" borderId="13" xfId="17" applyFont="1" applyBorder="1" applyAlignment="1" applyProtection="1">
      <alignment vertical="center"/>
      <protection hidden="1"/>
    </xf>
    <xf numFmtId="0" fontId="7" fillId="0" borderId="14" xfId="17" applyFont="1" applyBorder="1" applyAlignment="1"/>
    <xf numFmtId="183" fontId="7" fillId="3" borderId="1" xfId="17" applyNumberFormat="1" applyFont="1" applyFill="1" applyBorder="1" applyAlignment="1" applyProtection="1"/>
    <xf numFmtId="0" fontId="8" fillId="8" borderId="8" xfId="17" applyFont="1" applyFill="1" applyBorder="1" applyAlignment="1" applyProtection="1">
      <protection hidden="1"/>
    </xf>
    <xf numFmtId="0" fontId="7" fillId="0" borderId="4" xfId="17" applyFont="1" applyBorder="1"/>
    <xf numFmtId="0" fontId="7" fillId="0" borderId="5" xfId="17" applyFont="1" applyBorder="1"/>
    <xf numFmtId="183" fontId="8" fillId="3" borderId="1" xfId="17" applyNumberFormat="1" applyFont="1" applyFill="1" applyBorder="1" applyAlignment="1" applyProtection="1"/>
    <xf numFmtId="0" fontId="8" fillId="0" borderId="0" xfId="17" applyFont="1"/>
    <xf numFmtId="10" fontId="14" fillId="3" borderId="1" xfId="1" applyNumberFormat="1" applyFont="1" applyFill="1" applyBorder="1" applyAlignment="1" applyProtection="1">
      <protection hidden="1"/>
    </xf>
    <xf numFmtId="0" fontId="21" fillId="10" borderId="13" xfId="17" applyFont="1" applyFill="1" applyBorder="1" applyAlignment="1" applyProtection="1">
      <protection locked="0"/>
    </xf>
    <xf numFmtId="0" fontId="21" fillId="0" borderId="1" xfId="17" applyFont="1" applyBorder="1"/>
    <xf numFmtId="0" fontId="7" fillId="0" borderId="1" xfId="17" applyFont="1" applyBorder="1"/>
    <xf numFmtId="0" fontId="14" fillId="0" borderId="1" xfId="17" applyFont="1" applyFill="1" applyBorder="1" applyAlignment="1" applyProtection="1">
      <alignment horizontal="center" wrapText="1"/>
      <protection hidden="1"/>
    </xf>
    <xf numFmtId="0" fontId="8" fillId="0" borderId="2" xfId="17" applyFont="1" applyFill="1" applyBorder="1" applyAlignment="1" applyProtection="1">
      <alignment horizontal="center"/>
      <protection hidden="1"/>
    </xf>
    <xf numFmtId="0" fontId="14" fillId="9" borderId="18" xfId="17" applyFont="1" applyFill="1" applyBorder="1" applyProtection="1">
      <protection hidden="1"/>
    </xf>
    <xf numFmtId="0" fontId="7" fillId="9" borderId="19" xfId="17" applyFont="1" applyFill="1" applyBorder="1" applyProtection="1">
      <protection hidden="1"/>
    </xf>
    <xf numFmtId="183" fontId="8" fillId="3" borderId="1" xfId="17" applyNumberFormat="1" applyFont="1" applyFill="1" applyBorder="1" applyProtection="1">
      <protection hidden="1"/>
    </xf>
    <xf numFmtId="0" fontId="8" fillId="8" borderId="0" xfId="17" applyFont="1" applyFill="1" applyBorder="1" applyProtection="1">
      <protection hidden="1"/>
    </xf>
    <xf numFmtId="183" fontId="8" fillId="8" borderId="0" xfId="17" applyNumberFormat="1" applyFont="1" applyFill="1" applyBorder="1" applyProtection="1">
      <protection hidden="1"/>
    </xf>
    <xf numFmtId="183" fontId="8" fillId="0" borderId="0" xfId="17" applyNumberFormat="1" applyFont="1" applyFill="1" applyBorder="1" applyProtection="1">
      <protection hidden="1"/>
    </xf>
    <xf numFmtId="3" fontId="7" fillId="3" borderId="1" xfId="17" applyNumberFormat="1" applyFont="1" applyFill="1" applyBorder="1" applyProtection="1">
      <protection hidden="1"/>
    </xf>
    <xf numFmtId="10" fontId="7" fillId="3" borderId="1" xfId="17" applyNumberFormat="1" applyFont="1" applyFill="1" applyBorder="1" applyProtection="1">
      <protection hidden="1"/>
    </xf>
    <xf numFmtId="0" fontId="7" fillId="0" borderId="0" xfId="17" applyNumberFormat="1" applyFont="1" applyBorder="1" applyProtection="1">
      <protection hidden="1"/>
    </xf>
    <xf numFmtId="0" fontId="7" fillId="8" borderId="0" xfId="17" applyFont="1" applyFill="1" applyProtection="1">
      <protection hidden="1"/>
    </xf>
    <xf numFmtId="0" fontId="8" fillId="0" borderId="4" xfId="17" applyFont="1" applyBorder="1" applyProtection="1">
      <protection hidden="1"/>
    </xf>
    <xf numFmtId="0" fontId="7" fillId="0" borderId="1" xfId="17" applyFont="1" applyFill="1" applyBorder="1" applyProtection="1">
      <protection hidden="1"/>
    </xf>
    <xf numFmtId="0" fontId="8" fillId="0" borderId="1" xfId="17" applyFont="1" applyBorder="1" applyProtection="1">
      <protection hidden="1"/>
    </xf>
    <xf numFmtId="183" fontId="7" fillId="3" borderId="1" xfId="17" applyNumberFormat="1" applyFont="1" applyFill="1" applyBorder="1" applyProtection="1">
      <protection hidden="1"/>
    </xf>
    <xf numFmtId="0" fontId="7" fillId="8" borderId="0" xfId="17" applyFont="1" applyFill="1" applyAlignment="1" applyProtection="1">
      <protection hidden="1"/>
    </xf>
    <xf numFmtId="10" fontId="7" fillId="0" borderId="0" xfId="17" applyNumberFormat="1" applyFont="1" applyBorder="1" applyProtection="1">
      <protection hidden="1"/>
    </xf>
    <xf numFmtId="0" fontId="7" fillId="0" borderId="7" xfId="17" applyFont="1" applyBorder="1" applyProtection="1">
      <protection hidden="1"/>
    </xf>
    <xf numFmtId="0" fontId="7" fillId="0" borderId="8" xfId="17" applyFont="1" applyBorder="1" applyProtection="1">
      <protection hidden="1"/>
    </xf>
    <xf numFmtId="0" fontId="8" fillId="8" borderId="8" xfId="17" applyFont="1" applyFill="1" applyBorder="1" applyAlignment="1"/>
    <xf numFmtId="0" fontId="7" fillId="8" borderId="8" xfId="17" applyFont="1" applyFill="1" applyBorder="1" applyAlignment="1"/>
    <xf numFmtId="0" fontId="7" fillId="0" borderId="0" xfId="17" applyFont="1" applyFill="1"/>
    <xf numFmtId="0" fontId="7" fillId="0" borderId="8" xfId="17" applyFont="1" applyBorder="1" applyAlignment="1"/>
    <xf numFmtId="3" fontId="7" fillId="10" borderId="1" xfId="17" applyNumberFormat="1" applyFont="1" applyFill="1" applyBorder="1" applyProtection="1">
      <protection locked="0"/>
    </xf>
    <xf numFmtId="0" fontId="8" fillId="0" borderId="13" xfId="17" applyFont="1" applyBorder="1" applyAlignment="1" applyProtection="1">
      <protection hidden="1"/>
    </xf>
    <xf numFmtId="10" fontId="8" fillId="3" borderId="1" xfId="17" applyNumberFormat="1" applyFont="1" applyFill="1" applyBorder="1" applyProtection="1">
      <protection hidden="1"/>
    </xf>
    <xf numFmtId="184" fontId="7" fillId="0" borderId="0" xfId="17" applyNumberFormat="1" applyFont="1" applyBorder="1"/>
    <xf numFmtId="183" fontId="7" fillId="0" borderId="0" xfId="17" applyNumberFormat="1" applyFont="1" applyBorder="1"/>
    <xf numFmtId="168" fontId="9" fillId="3" borderId="7" xfId="0" applyNumberFormat="1" applyFont="1" applyFill="1" applyBorder="1" applyAlignment="1">
      <alignment horizontal="center" vertical="center"/>
    </xf>
    <xf numFmtId="168" fontId="9" fillId="3" borderId="8" xfId="0" applyNumberFormat="1" applyFont="1" applyFill="1" applyBorder="1" applyAlignment="1">
      <alignment horizontal="center" vertical="center"/>
    </xf>
    <xf numFmtId="168" fontId="9" fillId="3" borderId="9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7" fillId="0" borderId="13" xfId="17" applyFont="1" applyBorder="1" applyAlignment="1" applyProtection="1">
      <alignment horizontal="left" wrapText="1"/>
      <protection hidden="1"/>
    </xf>
    <xf numFmtId="0" fontId="7" fillId="0" borderId="14" xfId="17" applyFont="1" applyBorder="1" applyAlignment="1" applyProtection="1">
      <alignment horizontal="left" wrapText="1"/>
      <protection hidden="1"/>
    </xf>
    <xf numFmtId="0" fontId="7" fillId="0" borderId="15" xfId="17" applyFont="1" applyBorder="1" applyAlignment="1" applyProtection="1">
      <alignment horizontal="left" wrapText="1"/>
      <protection hidden="1"/>
    </xf>
    <xf numFmtId="0" fontId="40" fillId="0" borderId="2" xfId="17" applyFont="1" applyFill="1" applyBorder="1" applyAlignment="1" applyProtection="1">
      <alignment horizontal="center" wrapText="1"/>
      <protection hidden="1"/>
    </xf>
    <xf numFmtId="0" fontId="40" fillId="0" borderId="10" xfId="17" applyFont="1" applyFill="1" applyBorder="1" applyAlignment="1" applyProtection="1">
      <alignment horizontal="center" wrapText="1"/>
      <protection hidden="1"/>
    </xf>
  </cellXfs>
  <cellStyles count="19">
    <cellStyle name="%" xfId="2"/>
    <cellStyle name="Comma 2" xfId="5"/>
    <cellStyle name="Comma 20" xfId="9"/>
    <cellStyle name="Hyperlink" xfId="16" builtinId="8"/>
    <cellStyle name="Normal" xfId="0" builtinId="0"/>
    <cellStyle name="Normal - Style1 2" xfId="3"/>
    <cellStyle name="Normal 14 10 18 3" xfId="4"/>
    <cellStyle name="Normal 16 3 2 2 3 14 3 2" xfId="14"/>
    <cellStyle name="Normal 2" xfId="8"/>
    <cellStyle name="Normal 2 10" xfId="12"/>
    <cellStyle name="Normal 2 2 2 2 2" xfId="7"/>
    <cellStyle name="Normal 2 3 85" xfId="18"/>
    <cellStyle name="Normal 64 4" xfId="17"/>
    <cellStyle name="Normal 7 5 2" xfId="15"/>
    <cellStyle name="Normal_GDPCR Table IP" xfId="6"/>
    <cellStyle name="Normal_Spreadsheet  5 yr draft v4 12 29_06_06" xfId="11"/>
    <cellStyle name="Percent" xfId="1" builtinId="5"/>
    <cellStyle name="Percent 10 2 2 4 14 2" xfId="10"/>
    <cellStyle name="Percent 2 2 50" xfId="1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TG/Transmission/Transmission_Price_Controls_Lib/Regulatory_Reporting/RRP_2010/Transmission%20PCRRP%20tables_SPTL_200910%20draf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dsswrk002.uk.corporg.net\home3_wrk$\My%20Documents\Ant\Other\Grap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EXECFIN\FINPLAN\Monthly%20Reporting\0506\04%20-%20July\Report%20Schedules\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ostergmk\LOCALS~1\Temp\10%20year%20maturity%20T%20Bonds%20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hcbapp83\gas%20distribution%20shared%20folder\DOCUME~1\byrnespj\LOCALS~1\Temp\Beta%20Retail%20Examp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P_2018_5.0_version_template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sgg/ElecDistrib/Elec_Distrib_Lib/Connections/Connections_Industry_Review/CIR%202010-11/submissions/GDNs/GDNS%20submissions%20with%20calc/Copy%20of%20CIR_2010_11_NG_LON_for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2.16.1 Recharge Model"/>
      <sheetName val="2.16.2 Recharge Model"/>
      <sheetName val="3.1s Pensions Scots"/>
      <sheetName val="3.1.1 DB Pension cost"/>
      <sheetName val="3.1.2 DB Pension Detail"/>
      <sheetName val="3.1.3 Second DB Pension Det"/>
      <sheetName val="3.1.4 Pensions DC"/>
      <sheetName val="3.1.5 Pension PPF levy"/>
      <sheetName val="3.1.6 Pension Admin"/>
      <sheetName val="3.2 Net Debt"/>
      <sheetName val="3.3 Tax"/>
      <sheetName val="3.4s Disposals"/>
      <sheetName val="3.5 P&amp;L"/>
      <sheetName val="3.5.1 Bal Sht"/>
      <sheetName val="3.5.2 Cashflow"/>
      <sheetName val="3.6 Fin Require"/>
      <sheetName val="3.7 Tax allocations"/>
      <sheetName val="3.7.1 Tax allocations CT600"/>
      <sheetName val="4.1  System Info"/>
      <sheetName val="4.2  Activity indicators"/>
      <sheetName val="4.3_System_perf_SHETL_SPT"/>
      <sheetName val="4.4  Defects SPTL"/>
      <sheetName val="4.5  Faults"/>
      <sheetName val="4.6  Failures"/>
      <sheetName val="4.7 Condition Assessment SPTL"/>
      <sheetName val="4.8_Boundary_transf_capab"/>
      <sheetName val="4.9_Demand_&amp;_Supply_at_sub"/>
      <sheetName val="4.10 Reactive compensation"/>
      <sheetName val="4.11 Asset description SPTL"/>
      <sheetName val="4.12 Asset age 2007"/>
      <sheetName val="4.12 Asset age 2008"/>
      <sheetName val="4.12 Asset age 2009"/>
      <sheetName val="4.12 Asset age 2010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ement"/>
      <sheetName val="4.27.1 Capex Price Vol Var"/>
      <sheetName val="4.27.2 Capex Price Vol Var"/>
      <sheetName val="4.28A_Asset_health_&amp;_crit"/>
      <sheetName val="4.28B_Asset_health_&amp;_crit"/>
      <sheetName val="4.29C_Criticality_subs_SP"/>
      <sheetName val="4.30 TPCR Forecast"/>
      <sheetName val="4.31 E3 Grid"/>
      <sheetName val="3.1 P&amp;L"/>
      <sheetName val="3.2 Bal Sht"/>
      <sheetName val="3.3 Cashflow"/>
      <sheetName val="3.3.1 Fin Require"/>
      <sheetName val="3.5 Net Debt"/>
      <sheetName val="3.6 Tax"/>
      <sheetName val="3.8 DB Pension cost"/>
      <sheetName val="3.8.1 DB Pension Detail"/>
      <sheetName val="3.8.2 Second DB Pension Det"/>
      <sheetName val="3.9 Pensions DC"/>
      <sheetName val="3.10 Pension PPF levy"/>
      <sheetName val="3.11 Pension Admin"/>
      <sheetName val="4.3  System perf - SPTL"/>
      <sheetName val="4.8  Boundary Transfers"/>
      <sheetName val="4.9  Demand &amp; Supply at subs"/>
      <sheetName val="4.28 Asset Health"/>
      <sheetName val="4.29 Asset Criticality"/>
      <sheetName val="4.30 Asset Rep Priority"/>
      <sheetName val="4.31 Asset Live Det"/>
      <sheetName val="4.32 TPCR Forecast"/>
      <sheetName val="4.33 E3 Grid"/>
      <sheetName val="Lists"/>
    </sheetNames>
    <sheetDataSet>
      <sheetData sheetId="0"/>
      <sheetData sheetId="1"/>
      <sheetData sheetId="2">
        <row r="21">
          <cell r="C21" t="str">
            <v>2009/10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CKET"/>
      <sheetName val="SUN"/>
      <sheetName val="FF 02"/>
      <sheetName val="FF 03"/>
      <sheetName val="Graph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D5">
            <v>-20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"/>
      <sheetName val="Incentives"/>
      <sheetName val="Income collected"/>
      <sheetName val="Opex subjective"/>
      <sheetName val="Capex Comp"/>
      <sheetName val="Capex Comparators FOC"/>
      <sheetName val="Incentive Forecast"/>
      <sheetName val="Opex Comparators-sensitivities"/>
      <sheetName val="Opex Objective YTD"/>
      <sheetName val="Opex by FOC"/>
      <sheetName val="Opex Trend &amp; MAT"/>
      <sheetName val="Manpower"/>
      <sheetName val="Incentive Graphs"/>
      <sheetName val="Opex Objective Discrete Mths"/>
      <sheetName val="risk"/>
      <sheetName val="Manpower Summary"/>
      <sheetName val="Opex Subj by Mth"/>
      <sheetName val="Opex Objective Mth"/>
      <sheetName val="#REF"/>
      <sheetName val="By Account Code"/>
      <sheetName val="By Business Unit"/>
      <sheetName val="SummCapex"/>
      <sheetName val="ETO Capx"/>
      <sheetName val="ESO Capx"/>
      <sheetName val="GAS SO Capx"/>
      <sheetName val="GAS TO Capx "/>
      <sheetName val="Range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caSummary"/>
      <sheetName val="MarginSummary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Year ROIC Trees"/>
      <sheetName val="5 Year ROIC Trees"/>
      <sheetName val="Beta"/>
      <sheetName val="Cost of Debt (Industrial)"/>
      <sheetName val="Spread"/>
      <sheetName val="IBES Estimates"/>
      <sheetName val="Sheet4"/>
      <sheetName val="Risk-Free Rate"/>
      <sheetName val="Sheet3"/>
      <sheetName val="Operating Leases"/>
      <sheetName val="Sheet1"/>
      <sheetName val="Sheet2"/>
      <sheetName val="Spread|Growth"/>
      <sheetName val="Summary"/>
      <sheetName val="ABS"/>
      <sheetName val="ABS (Adjusted)"/>
      <sheetName val="ABS (2)"/>
      <sheetName val="AHMY"/>
      <sheetName val="AHMY (Adjusted)"/>
      <sheetName val="AHMY (2)"/>
      <sheetName val="BJ"/>
      <sheetName val="BJ (Adjusted)"/>
      <sheetName val="BJ (2)"/>
      <sheetName val="CAUFM"/>
      <sheetName val="CAUFM (Adjusted) "/>
      <sheetName val="CAUFM (2)"/>
      <sheetName val="COST"/>
      <sheetName val="COST (Adjusted)"/>
      <sheetName val="COST (2)"/>
      <sheetName val="DEFI"/>
      <sheetName val="DEFI (Adjusted) "/>
      <sheetName val="DEFI (2)"/>
      <sheetName val="GAP"/>
      <sheetName val="GAP (Adjusted) "/>
      <sheetName val="GAP (2)"/>
      <sheetName val="KM"/>
      <sheetName val="KM (Adjusted)"/>
      <sheetName val="KM (2)"/>
      <sheetName val="KR"/>
      <sheetName val="KR (Adjusted)"/>
      <sheetName val="KR (2)"/>
      <sheetName val="IMKTA"/>
      <sheetName val="IMKTA (Adjusted) "/>
      <sheetName val="IMKTA (2)"/>
      <sheetName val="METOL"/>
      <sheetName val="METOL (Adjusted)"/>
      <sheetName val="METOL (2)"/>
      <sheetName val="PUSH"/>
      <sheetName val="PUSH (Adjusted)"/>
      <sheetName val="PUSH (2)"/>
      <sheetName val="RDK"/>
      <sheetName val="RDK (Adjusted)"/>
      <sheetName val="RDK (2)"/>
      <sheetName val="SAGFO"/>
      <sheetName val="SAGFO (Adjusted) "/>
      <sheetName val="SAGFO (2)"/>
      <sheetName val="SVU"/>
      <sheetName val="SVU (Adjusted)"/>
      <sheetName val="SVU (2)"/>
      <sheetName val="SWY"/>
      <sheetName val="SWY (Adjusted)"/>
      <sheetName val="SWY (2)"/>
      <sheetName val="TEPH"/>
      <sheetName val="TEPH (Adjusted) "/>
      <sheetName val="TEPH (2)"/>
      <sheetName val="WIN"/>
      <sheetName val="WIN (Adjusted)"/>
      <sheetName val="WIN (2)"/>
      <sheetName val="WMK"/>
      <sheetName val="WMK (Adjusted)"/>
      <sheetName val="WMK (2)"/>
      <sheetName val="WMT"/>
      <sheetName val="WMT (Adjusted)"/>
      <sheetName val="WM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A15" t="e">
            <v>#NAME?</v>
          </cell>
          <cell r="D15" t="e">
            <v>#NAME?</v>
          </cell>
          <cell r="G15" t="e">
            <v>#NAME?</v>
          </cell>
          <cell r="J15" t="e">
            <v>#NAME?</v>
          </cell>
          <cell r="M15" t="e">
            <v>#NAME?</v>
          </cell>
          <cell r="P15" t="e">
            <v>#NAME?</v>
          </cell>
          <cell r="S15" t="e">
            <v>#NAME?</v>
          </cell>
          <cell r="V15" t="e">
            <v>#NAME?</v>
          </cell>
          <cell r="Y15" t="e">
            <v>#NAME?</v>
          </cell>
          <cell r="AB15" t="e">
            <v>#NAME?</v>
          </cell>
          <cell r="AE15" t="e">
            <v>#NAME?</v>
          </cell>
          <cell r="AH15" t="e">
            <v>#NAME?</v>
          </cell>
          <cell r="AK15" t="e">
            <v>#NAME?</v>
          </cell>
          <cell r="AN15" t="e">
            <v>#NAME?</v>
          </cell>
          <cell r="AQ15" t="e">
            <v>#NAME?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Op Cost Matrix (NEW)(1)"/>
      <sheetName val="2.1 Op Cost Matrix (NEW) (2)"/>
      <sheetName val="Index"/>
      <sheetName val="Changes Log"/>
      <sheetName val="Universal data"/>
      <sheetName val="1.4_Rec_to_Reg_Accs"/>
      <sheetName val="1.5_Net_Debt_and_Tax_Clawback"/>
      <sheetName val="1.6  Disposals"/>
      <sheetName val="2.1 Totex PCFM"/>
      <sheetName val="2.2 Totex costs summary"/>
      <sheetName val="2.3 Workload summary"/>
      <sheetName val="2.4 Safety"/>
      <sheetName val="2.5 Reliability"/>
      <sheetName val="2.6 Environmental"/>
      <sheetName val="2.7 Performance Snapshot"/>
      <sheetName val="3.1 Opex cost matrix"/>
      <sheetName val="3.2 year on year movements"/>
      <sheetName val="3.3 FCO Resource Utilisation"/>
      <sheetName val="3.4_Bus_Support_DELETED 2014_15"/>
      <sheetName val="3.6_Bus_Support_DELETED 2014_15"/>
      <sheetName val="3.7_Training_&amp;_Apprentices"/>
      <sheetName val="3.8 Maintenance"/>
      <sheetName val="3.9 LP Gasholders"/>
      <sheetName val="3.10 Land remediation REVISED"/>
      <sheetName val="3.11_Related Party Transact "/>
      <sheetName val="3.12 Shrinkage"/>
      <sheetName val="3.12a Gas Theft NEW 2014_15"/>
      <sheetName val="3.13 Streetworks"/>
      <sheetName val="3.14 Smart Metering"/>
      <sheetName val="3.15 SIUs"/>
      <sheetName val="4.1 Capex Summary "/>
      <sheetName val="4.2 Cap Expenditure Analysis"/>
      <sheetName val="4.3 LTS, storage &amp; entry"/>
      <sheetName val="4.4 Reinforcement"/>
      <sheetName val="4.5 Governor(Replacement)"/>
      <sheetName val="4.6 Connections "/>
      <sheetName val="4.7 Other Capex "/>
      <sheetName val="4.8 PSUP"/>
      <sheetName val="5.1 Repex summary"/>
      <sheetName val="5.2a Repex iron mains Tier 1"/>
      <sheetName val="5.2b Repex iron mains Tier 2A"/>
      <sheetName val="5.2c Repex other mains"/>
      <sheetName val="5.2d Repex diversions"/>
      <sheetName val="5.3 Other repex services"/>
      <sheetName val="5.4 Risers"/>
      <sheetName val="5.5 Repex expenditure analysis"/>
      <sheetName val="5.6 UNC Sub Deducts"/>
      <sheetName val="5.7 Mains Decommissiond "/>
      <sheetName val="5.8 Decommissioned Sum "/>
      <sheetName val="6.1 LTS Asset Data"/>
      <sheetName val="6.2 Network Assets"/>
      <sheetName val="6.3 Capacity&amp;Storage Asset "/>
      <sheetName val="6.4 Capacity &amp; Demand Data "/>
      <sheetName val="6.5 Capacity Output Data"/>
      <sheetName val="6.6 MEAV"/>
      <sheetName val="7.1 Safety Outputs"/>
      <sheetName val="7.2 Reliability Outputs"/>
      <sheetName val="7.3 Asset Health &amp; Criticality"/>
      <sheetName val="7.4 PREs, Reports and Repairs "/>
      <sheetName val="7.5 Accuracy pipeline records"/>
      <sheetName val="7.6 Business Carbon Footprint"/>
      <sheetName val="7.7 Environment-Other"/>
      <sheetName val="7.8 Dist Gas Connections"/>
      <sheetName val="7.9 Innovation rollout mechanis"/>
      <sheetName val="7.10 Network Innovation Allowan"/>
      <sheetName val="7.11 Network Innovation Competi"/>
      <sheetName val="8.1 Customer Complaints"/>
      <sheetName val="8.2 Customer Satisfaction Surve"/>
      <sheetName val="8.3 Guaranteed Standards "/>
      <sheetName val="8.4 Licence Condition D10"/>
      <sheetName val="8.5 3rd party &amp; water summary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New Metered Connections"/>
      <sheetName val="DNO Names"/>
      <sheetName val="2. Out of area networks"/>
      <sheetName val="3. Enquiries Handled"/>
      <sheetName val="4. Connection Charges"/>
    </sheetNames>
    <sheetDataSet>
      <sheetData sheetId="0"/>
      <sheetData sheetId="1"/>
      <sheetData sheetId="2">
        <row r="188">
          <cell r="L188" t="str">
            <v>Northern Gas Networks Ltd</v>
          </cell>
        </row>
        <row r="189">
          <cell r="L189" t="str">
            <v>National Grid Gas plc North West</v>
          </cell>
        </row>
        <row r="190">
          <cell r="L190" t="str">
            <v>National Grid Gas plc West Midlands</v>
          </cell>
        </row>
        <row r="191">
          <cell r="L191" t="str">
            <v>National Grid Gas plc East of England</v>
          </cell>
        </row>
        <row r="192">
          <cell r="L192" t="str">
            <v>National Grid Gas plc London</v>
          </cell>
        </row>
        <row r="193">
          <cell r="L193" t="str">
            <v>Scotland Gas Networks plc</v>
          </cell>
        </row>
        <row r="194">
          <cell r="L194" t="str">
            <v>Southern Gas Networks plc</v>
          </cell>
        </row>
        <row r="195">
          <cell r="L195" t="str">
            <v>Wales and West Utilities Ltd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238"/>
  <sheetViews>
    <sheetView tabSelected="1" view="pageBreakPreview" zoomScale="70" zoomScaleNormal="70" zoomScaleSheetLayoutView="70" workbookViewId="0">
      <selection activeCell="M33" sqref="M33"/>
    </sheetView>
  </sheetViews>
  <sheetFormatPr defaultColWidth="9.109375" defaultRowHeight="12.6"/>
  <cols>
    <col min="1" max="1" width="43.44140625" style="7" customWidth="1"/>
    <col min="2" max="2" width="15" style="9" customWidth="1"/>
    <col min="3" max="3" width="15" style="7" customWidth="1"/>
    <col min="4" max="4" width="15" style="8" customWidth="1"/>
    <col min="5" max="10" width="15" style="7" customWidth="1"/>
    <col min="11" max="11" width="19.88671875" style="7" customWidth="1"/>
    <col min="12" max="12" width="44.109375" style="7" customWidth="1"/>
    <col min="13" max="17" width="10" style="7" bestFit="1" customWidth="1"/>
    <col min="18" max="18" width="11" style="7" bestFit="1" customWidth="1"/>
    <col min="19" max="19" width="10.5546875" style="7" bestFit="1" customWidth="1"/>
    <col min="20" max="20" width="11" style="7" bestFit="1" customWidth="1"/>
    <col min="21" max="21" width="12.33203125" style="7" bestFit="1" customWidth="1"/>
    <col min="22" max="22" width="9.109375" style="7"/>
    <col min="23" max="23" width="44" style="7" customWidth="1"/>
    <col min="24" max="24" width="12.5546875" style="7" bestFit="1" customWidth="1"/>
    <col min="25" max="25" width="11.88671875" style="7" bestFit="1" customWidth="1"/>
    <col min="26" max="28" width="11.6640625" style="7" bestFit="1" customWidth="1"/>
    <col min="29" max="30" width="11.88671875" style="7" bestFit="1" customWidth="1"/>
    <col min="31" max="31" width="11.6640625" style="7" bestFit="1" customWidth="1"/>
    <col min="32" max="32" width="13.33203125" style="7" customWidth="1"/>
    <col min="33" max="16384" width="9.109375" style="7"/>
  </cols>
  <sheetData>
    <row r="1" spans="1:32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5" spans="1:32" ht="19.8">
      <c r="A5" s="1" t="s">
        <v>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s="1" customFormat="1" ht="19.8"/>
    <row r="7" spans="1:32">
      <c r="A7" s="8" t="s">
        <v>2</v>
      </c>
    </row>
    <row r="8" spans="1:32">
      <c r="A8" s="9" t="str">
        <f>$A$3&amp;" prices"</f>
        <v>2017/18 prices</v>
      </c>
    </row>
    <row r="9" spans="1:32" ht="12.75" customHeight="1">
      <c r="A9" s="10"/>
      <c r="B9" s="629" t="s">
        <v>3</v>
      </c>
      <c r="C9" s="630"/>
      <c r="D9" s="630"/>
      <c r="E9" s="631"/>
      <c r="F9" s="635" t="s">
        <v>4</v>
      </c>
      <c r="G9" s="637" t="s">
        <v>5</v>
      </c>
      <c r="H9" s="638"/>
      <c r="I9" s="639"/>
      <c r="J9" s="643" t="s">
        <v>6</v>
      </c>
    </row>
    <row r="10" spans="1:32">
      <c r="A10" s="11"/>
      <c r="B10" s="632"/>
      <c r="C10" s="633"/>
      <c r="D10" s="633"/>
      <c r="E10" s="634"/>
      <c r="F10" s="636"/>
      <c r="G10" s="640"/>
      <c r="H10" s="641"/>
      <c r="I10" s="642"/>
      <c r="J10" s="644"/>
    </row>
    <row r="11" spans="1:32">
      <c r="A11" s="12" t="s">
        <v>7</v>
      </c>
      <c r="B11" s="13">
        <v>2014</v>
      </c>
      <c r="C11" s="14">
        <v>2015</v>
      </c>
      <c r="D11" s="14">
        <v>2016</v>
      </c>
      <c r="E11" s="14">
        <v>2017</v>
      </c>
      <c r="F11" s="14">
        <v>2018</v>
      </c>
      <c r="G11" s="14">
        <v>2019</v>
      </c>
      <c r="H11" s="14">
        <v>2020</v>
      </c>
      <c r="I11" s="14">
        <v>2021</v>
      </c>
      <c r="J11" s="645"/>
    </row>
    <row r="12" spans="1:32">
      <c r="A12" s="15" t="s">
        <v>8</v>
      </c>
      <c r="B12" s="16">
        <f>+B62</f>
        <v>9.2671478795196371</v>
      </c>
      <c r="C12" s="16">
        <f t="shared" ref="B12:E27" si="0">+C62</f>
        <v>6.813223107752397</v>
      </c>
      <c r="D12" s="16">
        <f t="shared" si="0"/>
        <v>11.89714674667162</v>
      </c>
      <c r="E12" s="16">
        <f t="shared" si="0"/>
        <v>9.5762144596144836</v>
      </c>
      <c r="F12" s="16">
        <v>7.5058804067300997</v>
      </c>
      <c r="G12" s="17">
        <v>8.7218652484149519</v>
      </c>
      <c r="H12" s="17">
        <v>7.552497562271558</v>
      </c>
      <c r="I12" s="17">
        <v>8.8623555888006109</v>
      </c>
      <c r="J12" s="18">
        <f>SUM(B12:I12)</f>
        <v>70.196330999775356</v>
      </c>
    </row>
    <row r="13" spans="1:32">
      <c r="A13" s="15" t="s">
        <v>9</v>
      </c>
      <c r="B13" s="19">
        <f t="shared" si="0"/>
        <v>11.231001622908057</v>
      </c>
      <c r="C13" s="19">
        <f t="shared" si="0"/>
        <v>10.193412984498703</v>
      </c>
      <c r="D13" s="19">
        <f t="shared" si="0"/>
        <v>12.581628215978416</v>
      </c>
      <c r="E13" s="19">
        <f t="shared" si="0"/>
        <v>11.504695117034478</v>
      </c>
      <c r="F13" s="19">
        <v>12.592387120258529</v>
      </c>
      <c r="G13" s="20">
        <v>11.261498745277169</v>
      </c>
      <c r="H13" s="20">
        <v>11.917747418726037</v>
      </c>
      <c r="I13" s="20">
        <v>11.982604227084199</v>
      </c>
      <c r="J13" s="21">
        <f t="shared" ref="J13:J18" si="1">SUM(B13:I13)</f>
        <v>93.264975451765579</v>
      </c>
    </row>
    <row r="14" spans="1:32">
      <c r="A14" s="15" t="s">
        <v>10</v>
      </c>
      <c r="B14" s="19">
        <f t="shared" si="0"/>
        <v>4.1339438269439928</v>
      </c>
      <c r="C14" s="19">
        <f t="shared" si="0"/>
        <v>3.7513337704891954</v>
      </c>
      <c r="D14" s="19">
        <f t="shared" si="0"/>
        <v>3.619728407492433</v>
      </c>
      <c r="E14" s="19">
        <f t="shared" si="0"/>
        <v>3.6651841964350624</v>
      </c>
      <c r="F14" s="19">
        <v>4.5597484436263978</v>
      </c>
      <c r="G14" s="20">
        <v>4.4206625916494673</v>
      </c>
      <c r="H14" s="20">
        <v>4.0105537677370933</v>
      </c>
      <c r="I14" s="20">
        <v>3.8164599656248619</v>
      </c>
      <c r="J14" s="21">
        <f t="shared" si="1"/>
        <v>31.977614969998502</v>
      </c>
    </row>
    <row r="15" spans="1:32">
      <c r="A15" s="15" t="s">
        <v>11</v>
      </c>
      <c r="B15" s="19">
        <f t="shared" si="0"/>
        <v>2.477117614856676</v>
      </c>
      <c r="C15" s="19">
        <f t="shared" si="0"/>
        <v>2.2777977054363645</v>
      </c>
      <c r="D15" s="19">
        <f t="shared" si="0"/>
        <v>2.5722378961735468</v>
      </c>
      <c r="E15" s="19">
        <f t="shared" si="0"/>
        <v>1.6762805518654431</v>
      </c>
      <c r="F15" s="19">
        <v>0.98415196162740826</v>
      </c>
      <c r="G15" s="20">
        <v>1.9354422157695308</v>
      </c>
      <c r="H15" s="20">
        <v>1.9065076487127144</v>
      </c>
      <c r="I15" s="20">
        <v>1.9043779933534275</v>
      </c>
      <c r="J15" s="21">
        <f t="shared" si="1"/>
        <v>15.733913587795112</v>
      </c>
    </row>
    <row r="16" spans="1:32">
      <c r="A16" s="15" t="s">
        <v>12</v>
      </c>
      <c r="B16" s="19">
        <f t="shared" si="0"/>
        <v>28.611774324509128</v>
      </c>
      <c r="C16" s="19">
        <f t="shared" si="0"/>
        <v>23.354821268082745</v>
      </c>
      <c r="D16" s="19">
        <f t="shared" si="0"/>
        <v>21.061272168503962</v>
      </c>
      <c r="E16" s="19">
        <f t="shared" si="0"/>
        <v>23.581705684341621</v>
      </c>
      <c r="F16" s="19">
        <v>23.852195175049964</v>
      </c>
      <c r="G16" s="20">
        <v>20.415599092134507</v>
      </c>
      <c r="H16" s="20">
        <v>19.556014240233278</v>
      </c>
      <c r="I16" s="20">
        <v>19.692571783188971</v>
      </c>
      <c r="J16" s="21">
        <f t="shared" si="1"/>
        <v>180.12595373604418</v>
      </c>
    </row>
    <row r="17" spans="1:12">
      <c r="A17" s="22" t="s">
        <v>13</v>
      </c>
      <c r="B17" s="23">
        <f t="shared" si="0"/>
        <v>5.9714632691465139</v>
      </c>
      <c r="C17" s="23">
        <f t="shared" si="0"/>
        <v>8.1024778564387034</v>
      </c>
      <c r="D17" s="23">
        <f t="shared" si="0"/>
        <v>7.9361043037463208</v>
      </c>
      <c r="E17" s="23">
        <f t="shared" si="0"/>
        <v>5.2958356814604191</v>
      </c>
      <c r="F17" s="23">
        <v>7.9317291399999998</v>
      </c>
      <c r="G17" s="20">
        <v>9.5940943498500548</v>
      </c>
      <c r="H17" s="20">
        <v>7.6565368170425625</v>
      </c>
      <c r="I17" s="20">
        <v>9.0398113625080683</v>
      </c>
      <c r="J17" s="24">
        <f t="shared" si="1"/>
        <v>61.528052780192645</v>
      </c>
    </row>
    <row r="18" spans="1:12">
      <c r="A18" s="22" t="s">
        <v>14</v>
      </c>
      <c r="B18" s="23">
        <f t="shared" si="0"/>
        <v>5.7152096941624837</v>
      </c>
      <c r="C18" s="23">
        <f t="shared" si="0"/>
        <v>5.6566334978121038</v>
      </c>
      <c r="D18" s="23">
        <f t="shared" si="0"/>
        <v>5.1093066535978933</v>
      </c>
      <c r="E18" s="23">
        <f t="shared" si="0"/>
        <v>4.245056951057089</v>
      </c>
      <c r="F18" s="23">
        <v>2.2343088899999999</v>
      </c>
      <c r="G18" s="20">
        <v>5.307710792971843</v>
      </c>
      <c r="H18" s="20">
        <v>7.0469734198101106</v>
      </c>
      <c r="I18" s="20">
        <v>6.9542373441860059</v>
      </c>
      <c r="J18" s="24">
        <f t="shared" si="1"/>
        <v>42.26943724359753</v>
      </c>
    </row>
    <row r="19" spans="1:12">
      <c r="A19" s="25" t="s">
        <v>15</v>
      </c>
      <c r="B19" s="26">
        <f>SUM(B12:B16)</f>
        <v>55.720985268737493</v>
      </c>
      <c r="C19" s="26">
        <f>SUM(C12:C16)</f>
        <v>46.390588836259404</v>
      </c>
      <c r="D19" s="26">
        <f>SUM(D12:D16)</f>
        <v>51.732013434819976</v>
      </c>
      <c r="E19" s="26">
        <f t="shared" ref="E19" si="2">SUM(E12:E16)</f>
        <v>50.004080009291087</v>
      </c>
      <c r="F19" s="26">
        <f>SUM(F12:F16)</f>
        <v>49.494363107292401</v>
      </c>
      <c r="G19" s="26">
        <f t="shared" ref="G19:I19" si="3">SUM(G12:G16)</f>
        <v>46.755067893245624</v>
      </c>
      <c r="H19" s="26">
        <f t="shared" si="3"/>
        <v>44.943320637680685</v>
      </c>
      <c r="I19" s="26">
        <f t="shared" si="3"/>
        <v>46.258369558052067</v>
      </c>
      <c r="J19" s="26">
        <f>SUM(B19:I19)</f>
        <v>391.29878874537872</v>
      </c>
    </row>
    <row r="20" spans="1:12">
      <c r="A20" s="15" t="s">
        <v>16</v>
      </c>
      <c r="B20" s="19">
        <f t="shared" si="0"/>
        <v>70.469618337224631</v>
      </c>
      <c r="C20" s="19">
        <f t="shared" si="0"/>
        <v>63.390002899773577</v>
      </c>
      <c r="D20" s="19">
        <f t="shared" si="0"/>
        <v>60.324772592124084</v>
      </c>
      <c r="E20" s="19">
        <f t="shared" si="0"/>
        <v>60.864771978528545</v>
      </c>
      <c r="F20" s="16">
        <v>52.357925955169286</v>
      </c>
      <c r="G20" s="20">
        <v>63.384968328591221</v>
      </c>
      <c r="H20" s="20">
        <v>68.314580606332953</v>
      </c>
      <c r="I20" s="20">
        <v>67.949954329566594</v>
      </c>
      <c r="J20" s="27">
        <f>SUM(B20:I20)</f>
        <v>507.05659502731089</v>
      </c>
    </row>
    <row r="21" spans="1:12">
      <c r="A21" s="15" t="s">
        <v>17</v>
      </c>
      <c r="B21" s="19">
        <f t="shared" si="0"/>
        <v>6.5841376614669569</v>
      </c>
      <c r="C21" s="19">
        <f t="shared" si="0"/>
        <v>16.864652988304318</v>
      </c>
      <c r="D21" s="19">
        <f t="shared" si="0"/>
        <v>19.058798539808141</v>
      </c>
      <c r="E21" s="19">
        <f t="shared" si="0"/>
        <v>17.228041412146929</v>
      </c>
      <c r="F21" s="19">
        <v>13.694165793286556</v>
      </c>
      <c r="G21" s="20">
        <v>10.212911344574026</v>
      </c>
      <c r="H21" s="20">
        <v>9.3518143248586298</v>
      </c>
      <c r="I21" s="20">
        <v>9.5646115203355855</v>
      </c>
      <c r="J21" s="28">
        <f>SUM(B21:I21)</f>
        <v>102.55913358478115</v>
      </c>
    </row>
    <row r="22" spans="1:12">
      <c r="A22" s="15" t="s">
        <v>18</v>
      </c>
      <c r="B22" s="19">
        <f t="shared" si="0"/>
        <v>1.6523490470917448</v>
      </c>
      <c r="C22" s="19">
        <f t="shared" si="0"/>
        <v>2.6667485135565197</v>
      </c>
      <c r="D22" s="19">
        <f t="shared" si="0"/>
        <v>2.2481702956793521</v>
      </c>
      <c r="E22" s="19">
        <f t="shared" si="0"/>
        <v>1.948858822922956</v>
      </c>
      <c r="F22" s="29">
        <v>1.4542626050447596</v>
      </c>
      <c r="G22" s="20">
        <v>1.4054062809531402</v>
      </c>
      <c r="H22" s="20">
        <v>1.4192466405368005</v>
      </c>
      <c r="I22" s="20">
        <v>1.4332007594114502</v>
      </c>
      <c r="J22" s="30">
        <f>SUM(B22:I22)</f>
        <v>14.228242965196722</v>
      </c>
    </row>
    <row r="23" spans="1:12" ht="16.2">
      <c r="A23" s="25" t="s">
        <v>19</v>
      </c>
      <c r="B23" s="26">
        <f t="shared" ref="B23:I23" si="4">SUM(B20:B22)</f>
        <v>78.706105045783332</v>
      </c>
      <c r="C23" s="26">
        <f t="shared" si="4"/>
        <v>82.921404401634405</v>
      </c>
      <c r="D23" s="26">
        <f t="shared" si="4"/>
        <v>81.631741427611587</v>
      </c>
      <c r="E23" s="26">
        <f t="shared" si="4"/>
        <v>80.041672213598432</v>
      </c>
      <c r="F23" s="26">
        <f>SUM(F20:F22)</f>
        <v>67.506354353500598</v>
      </c>
      <c r="G23" s="26">
        <f t="shared" si="4"/>
        <v>75.003285954118397</v>
      </c>
      <c r="H23" s="26">
        <f t="shared" si="4"/>
        <v>79.085641571728374</v>
      </c>
      <c r="I23" s="26">
        <f t="shared" si="4"/>
        <v>78.947766609313632</v>
      </c>
      <c r="J23" s="26">
        <f>SUM(B23:I23)</f>
        <v>623.8439715772887</v>
      </c>
      <c r="L23" s="31"/>
    </row>
    <row r="24" spans="1:12">
      <c r="A24" s="32" t="s">
        <v>20</v>
      </c>
      <c r="B24" s="19">
        <f t="shared" si="0"/>
        <v>24.79066187525974</v>
      </c>
      <c r="C24" s="19">
        <f t="shared" si="0"/>
        <v>21.696552214368886</v>
      </c>
      <c r="D24" s="19">
        <f t="shared" si="0"/>
        <v>21.839288064275689</v>
      </c>
      <c r="E24" s="19">
        <f t="shared" si="0"/>
        <v>20.630572234505376</v>
      </c>
      <c r="F24" s="33">
        <v>19.718353026732014</v>
      </c>
      <c r="G24" s="20">
        <v>21.157760663915408</v>
      </c>
      <c r="H24" s="20">
        <v>22.012904710784255</v>
      </c>
      <c r="I24" s="20">
        <v>23.298330497324699</v>
      </c>
      <c r="J24" s="34">
        <f t="shared" ref="J24:J37" si="5">SUM(B24:I24)</f>
        <v>175.14442328716609</v>
      </c>
    </row>
    <row r="25" spans="1:12">
      <c r="A25" s="32" t="s">
        <v>21</v>
      </c>
      <c r="B25" s="19">
        <f t="shared" si="0"/>
        <v>10.715182513521883</v>
      </c>
      <c r="C25" s="19">
        <f t="shared" si="0"/>
        <v>11.043850817975454</v>
      </c>
      <c r="D25" s="19">
        <f t="shared" si="0"/>
        <v>9.4607991766746355</v>
      </c>
      <c r="E25" s="19">
        <f t="shared" si="0"/>
        <v>10.041426130369274</v>
      </c>
      <c r="F25" s="19">
        <v>9.91844926513145</v>
      </c>
      <c r="G25" s="20">
        <v>9.2583862083856125</v>
      </c>
      <c r="H25" s="20">
        <v>9.1975807818299966</v>
      </c>
      <c r="I25" s="20">
        <v>9.5059080473170994</v>
      </c>
      <c r="J25" s="34">
        <f t="shared" si="5"/>
        <v>79.141582941205399</v>
      </c>
    </row>
    <row r="26" spans="1:12">
      <c r="A26" s="32" t="s">
        <v>22</v>
      </c>
      <c r="B26" s="19">
        <f t="shared" si="0"/>
        <v>10.503676617955328</v>
      </c>
      <c r="C26" s="19">
        <f t="shared" si="0"/>
        <v>10.579298044028697</v>
      </c>
      <c r="D26" s="19">
        <f t="shared" si="0"/>
        <v>8.9715806210168196</v>
      </c>
      <c r="E26" s="19">
        <f t="shared" si="0"/>
        <v>10.22577528608727</v>
      </c>
      <c r="F26" s="19">
        <v>7.8689545340307614</v>
      </c>
      <c r="G26" s="20">
        <v>8.9106678652415887</v>
      </c>
      <c r="H26" s="20">
        <v>8.8521461155277255</v>
      </c>
      <c r="I26" s="20">
        <v>9.1488934961960044</v>
      </c>
      <c r="J26" s="34">
        <f t="shared" si="5"/>
        <v>75.060992580084203</v>
      </c>
    </row>
    <row r="27" spans="1:12">
      <c r="A27" s="32" t="s">
        <v>23</v>
      </c>
      <c r="B27" s="19">
        <f t="shared" si="0"/>
        <v>15.462480679430708</v>
      </c>
      <c r="C27" s="19">
        <f t="shared" si="0"/>
        <v>19.062261562215042</v>
      </c>
      <c r="D27" s="19">
        <f t="shared" si="0"/>
        <v>18.040368498919314</v>
      </c>
      <c r="E27" s="19">
        <f t="shared" si="0"/>
        <v>18.375168617936119</v>
      </c>
      <c r="F27" s="19">
        <v>15.406307535830198</v>
      </c>
      <c r="G27" s="20">
        <v>16.207537144153946</v>
      </c>
      <c r="H27" s="20">
        <v>16.157297599823703</v>
      </c>
      <c r="I27" s="20">
        <v>16.537976069495681</v>
      </c>
      <c r="J27" s="34">
        <f t="shared" si="5"/>
        <v>135.24939770780472</v>
      </c>
    </row>
    <row r="28" spans="1:12">
      <c r="A28" s="32" t="s">
        <v>24</v>
      </c>
      <c r="B28" s="19">
        <f t="shared" ref="B28:E36" si="6">+B78</f>
        <v>0</v>
      </c>
      <c r="C28" s="19">
        <f t="shared" si="6"/>
        <v>0</v>
      </c>
      <c r="D28" s="19">
        <f t="shared" si="6"/>
        <v>0</v>
      </c>
      <c r="E28" s="19">
        <f t="shared" si="6"/>
        <v>0</v>
      </c>
      <c r="F28" s="19">
        <v>0</v>
      </c>
      <c r="G28" s="20">
        <v>0</v>
      </c>
      <c r="H28" s="20">
        <v>0</v>
      </c>
      <c r="I28" s="20">
        <v>0</v>
      </c>
      <c r="J28" s="34">
        <f t="shared" si="5"/>
        <v>0</v>
      </c>
    </row>
    <row r="29" spans="1:12">
      <c r="A29" s="32" t="s">
        <v>25</v>
      </c>
      <c r="B29" s="19">
        <f t="shared" si="6"/>
        <v>20.899695601711752</v>
      </c>
      <c r="C29" s="19">
        <f t="shared" si="6"/>
        <v>14.68910738939231</v>
      </c>
      <c r="D29" s="19">
        <f t="shared" si="6"/>
        <v>7.285949796487019</v>
      </c>
      <c r="E29" s="19">
        <f t="shared" si="6"/>
        <v>7.0405158039133804</v>
      </c>
      <c r="F29" s="19">
        <v>6.9541277911040034</v>
      </c>
      <c r="G29" s="20">
        <v>5.5222854248158368</v>
      </c>
      <c r="H29" s="20">
        <v>5.7223096022709026</v>
      </c>
      <c r="I29" s="20">
        <v>6.2101129841548115</v>
      </c>
      <c r="J29" s="34">
        <f t="shared" si="5"/>
        <v>74.324104393850007</v>
      </c>
    </row>
    <row r="30" spans="1:12">
      <c r="A30" s="22" t="s">
        <v>26</v>
      </c>
      <c r="B30" s="19">
        <f t="shared" si="6"/>
        <v>4.4222471614820931</v>
      </c>
      <c r="C30" s="19">
        <f t="shared" si="6"/>
        <v>4.5359292712175074</v>
      </c>
      <c r="D30" s="19">
        <f t="shared" si="6"/>
        <v>4.3511995201191835</v>
      </c>
      <c r="E30" s="19">
        <f t="shared" si="6"/>
        <v>3.8524684978112553</v>
      </c>
      <c r="F30" s="23">
        <v>3.3369982899999999</v>
      </c>
      <c r="G30" s="20">
        <v>2.7274210625999995</v>
      </c>
      <c r="H30" s="20">
        <v>2.7274210625999999</v>
      </c>
      <c r="I30" s="20">
        <v>2.7274210626000004</v>
      </c>
      <c r="J30" s="35">
        <f t="shared" si="5"/>
        <v>28.681105928430043</v>
      </c>
    </row>
    <row r="31" spans="1:12">
      <c r="A31" s="36" t="s">
        <v>27</v>
      </c>
      <c r="B31" s="37">
        <f>SUM(B24:B29)</f>
        <v>82.371697287879414</v>
      </c>
      <c r="C31" s="37">
        <f>SUM(C24:C29)</f>
        <v>77.071070027980383</v>
      </c>
      <c r="D31" s="37">
        <f>SUM(D24:D29)</f>
        <v>65.597986157373484</v>
      </c>
      <c r="E31" s="37">
        <f t="shared" ref="E31" si="7">SUM(E24:E29)</f>
        <v>66.313458072811429</v>
      </c>
      <c r="F31" s="37">
        <f>SUM(F24:F29)</f>
        <v>59.866192152828418</v>
      </c>
      <c r="G31" s="37">
        <f t="shared" ref="G31:I31" si="8">SUM(G24:G29)</f>
        <v>61.056637306512386</v>
      </c>
      <c r="H31" s="37">
        <f t="shared" si="8"/>
        <v>61.942238810236582</v>
      </c>
      <c r="I31" s="37">
        <f t="shared" si="8"/>
        <v>64.70122109448829</v>
      </c>
      <c r="J31" s="37">
        <f t="shared" si="5"/>
        <v>538.92050091011038</v>
      </c>
    </row>
    <row r="32" spans="1:12">
      <c r="A32" s="32" t="s">
        <v>28</v>
      </c>
      <c r="B32" s="19">
        <f t="shared" si="6"/>
        <v>17.545782462350953</v>
      </c>
      <c r="C32" s="19">
        <f t="shared" si="6"/>
        <v>17.077002441409377</v>
      </c>
      <c r="D32" s="19">
        <f t="shared" si="6"/>
        <v>19.673214199789967</v>
      </c>
      <c r="E32" s="19">
        <f t="shared" si="6"/>
        <v>19.574313934442038</v>
      </c>
      <c r="F32" s="38">
        <v>14.417350649856063</v>
      </c>
      <c r="G32" s="20">
        <v>26.040434772992285</v>
      </c>
      <c r="H32" s="20">
        <v>26.337530319487737</v>
      </c>
      <c r="I32" s="20">
        <v>26.126657905372248</v>
      </c>
      <c r="J32" s="39">
        <f t="shared" si="5"/>
        <v>166.79228668570065</v>
      </c>
    </row>
    <row r="33" spans="1:21">
      <c r="A33" s="32" t="s">
        <v>29</v>
      </c>
      <c r="B33" s="19">
        <f t="shared" si="6"/>
        <v>2.0721461344316174</v>
      </c>
      <c r="C33" s="19">
        <f t="shared" si="6"/>
        <v>1.9167240661483771</v>
      </c>
      <c r="D33" s="19">
        <f t="shared" si="6"/>
        <v>2.7169502810572763</v>
      </c>
      <c r="E33" s="19">
        <f t="shared" si="6"/>
        <v>3.3590217409173975</v>
      </c>
      <c r="F33" s="38">
        <v>3.612779157538998</v>
      </c>
      <c r="G33" s="20">
        <v>3.3643049760721686</v>
      </c>
      <c r="H33" s="20">
        <v>3.9759826285837137</v>
      </c>
      <c r="I33" s="20">
        <v>4.0319971510234405</v>
      </c>
      <c r="J33" s="39">
        <f t="shared" si="5"/>
        <v>25.049906135772989</v>
      </c>
    </row>
    <row r="34" spans="1:21">
      <c r="A34" s="40" t="s">
        <v>30</v>
      </c>
      <c r="B34" s="37">
        <f t="shared" ref="B34:D34" si="9">SUM(B32:B33)</f>
        <v>19.617928596782569</v>
      </c>
      <c r="C34" s="37">
        <f t="shared" si="9"/>
        <v>18.993726507557753</v>
      </c>
      <c r="D34" s="37">
        <f t="shared" si="9"/>
        <v>22.390164480847243</v>
      </c>
      <c r="E34" s="37">
        <f t="shared" ref="E34" si="10">SUM(E32:E33)</f>
        <v>22.933335675359437</v>
      </c>
      <c r="F34" s="26">
        <f>SUM(F32:F33)</f>
        <v>18.03012980739506</v>
      </c>
      <c r="G34" s="37">
        <f t="shared" ref="G34:I34" si="11">SUM(G32:G33)</f>
        <v>29.404739749064454</v>
      </c>
      <c r="H34" s="37">
        <f t="shared" si="11"/>
        <v>30.313512948071452</v>
      </c>
      <c r="I34" s="37">
        <f t="shared" si="11"/>
        <v>30.158655056395688</v>
      </c>
      <c r="J34" s="37">
        <f t="shared" si="5"/>
        <v>191.84219282147365</v>
      </c>
    </row>
    <row r="35" spans="1:21">
      <c r="A35" s="41" t="s">
        <v>31</v>
      </c>
      <c r="B35" s="37">
        <f>SUM(B34,B31)</f>
        <v>101.98962588466199</v>
      </c>
      <c r="C35" s="37">
        <f>SUM(C34,C31)</f>
        <v>96.064796535538136</v>
      </c>
      <c r="D35" s="37">
        <f>SUM(D34,D31)</f>
        <v>87.988150638220731</v>
      </c>
      <c r="E35" s="37">
        <f t="shared" ref="E35" si="12">SUM(E34,E31)</f>
        <v>89.246793748170859</v>
      </c>
      <c r="F35" s="37">
        <f>SUM(F34,F31)</f>
        <v>77.896321960223474</v>
      </c>
      <c r="G35" s="37">
        <f t="shared" ref="G35:I35" si="13">SUM(G34,G31)</f>
        <v>90.461377055576833</v>
      </c>
      <c r="H35" s="37">
        <f t="shared" si="13"/>
        <v>92.255751758308037</v>
      </c>
      <c r="I35" s="37">
        <f t="shared" si="13"/>
        <v>94.859876150883977</v>
      </c>
      <c r="J35" s="37">
        <f t="shared" si="5"/>
        <v>730.76269373158414</v>
      </c>
    </row>
    <row r="36" spans="1:21" ht="16.2">
      <c r="A36" s="42" t="s">
        <v>32</v>
      </c>
      <c r="B36" s="19">
        <f t="shared" si="6"/>
        <v>0</v>
      </c>
      <c r="C36" s="19">
        <f t="shared" si="6"/>
        <v>0</v>
      </c>
      <c r="D36" s="19">
        <f t="shared" si="6"/>
        <v>4.2847945344256733E-2</v>
      </c>
      <c r="E36" s="19">
        <f t="shared" si="6"/>
        <v>3.2378635441220868E-2</v>
      </c>
      <c r="F36" s="43">
        <v>3.2639710300000006E-2</v>
      </c>
      <c r="G36" s="17">
        <v>0.29126213592233008</v>
      </c>
      <c r="H36" s="17">
        <v>0.28277877274012625</v>
      </c>
      <c r="I36" s="17">
        <v>0.2745424978059478</v>
      </c>
      <c r="J36" s="43"/>
      <c r="L36" s="31"/>
    </row>
    <row r="37" spans="1:21">
      <c r="A37" s="44" t="s">
        <v>33</v>
      </c>
      <c r="B37" s="45">
        <f t="shared" ref="B37:I37" si="14">SUM(B35,B23,B19)</f>
        <v>236.41671619918282</v>
      </c>
      <c r="C37" s="45">
        <f t="shared" si="14"/>
        <v>225.37678977343197</v>
      </c>
      <c r="D37" s="45">
        <f t="shared" si="14"/>
        <v>221.35190550065229</v>
      </c>
      <c r="E37" s="45">
        <f t="shared" si="14"/>
        <v>219.29254597106041</v>
      </c>
      <c r="F37" s="45">
        <f>SUM(F35,F23,F19)</f>
        <v>194.89703942101647</v>
      </c>
      <c r="G37" s="45">
        <f t="shared" si="14"/>
        <v>212.21973090294085</v>
      </c>
      <c r="H37" s="45">
        <f t="shared" si="14"/>
        <v>216.2847139677171</v>
      </c>
      <c r="I37" s="45">
        <f t="shared" si="14"/>
        <v>220.06601231824968</v>
      </c>
      <c r="J37" s="45">
        <f t="shared" si="5"/>
        <v>1745.9054540542515</v>
      </c>
    </row>
    <row r="38" spans="1:21">
      <c r="A38" s="46" t="s">
        <v>34</v>
      </c>
      <c r="B38" s="47"/>
      <c r="C38" s="47"/>
      <c r="D38" s="47"/>
      <c r="E38" s="47"/>
      <c r="F38" s="47"/>
      <c r="G38" s="47"/>
      <c r="H38" s="47"/>
      <c r="I38" s="47"/>
      <c r="J38" s="48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>
      <c r="A39" s="32" t="s">
        <v>35</v>
      </c>
      <c r="B39" s="19">
        <f t="shared" ref="B39:E42" si="15">+B89</f>
        <v>43.142517932014037</v>
      </c>
      <c r="C39" s="19">
        <f t="shared" si="15"/>
        <v>43.758705744838004</v>
      </c>
      <c r="D39" s="19">
        <f t="shared" si="15"/>
        <v>43.307589456440361</v>
      </c>
      <c r="E39" s="19">
        <f t="shared" si="15"/>
        <v>59.181520033501066</v>
      </c>
      <c r="F39" s="33">
        <v>61.715300541367043</v>
      </c>
      <c r="G39" s="20">
        <v>44.599565394650433</v>
      </c>
      <c r="H39" s="20">
        <v>58.960232285555065</v>
      </c>
      <c r="I39" s="20">
        <v>51.719147930514019</v>
      </c>
      <c r="J39" s="50">
        <f>SUM(B39:I39)</f>
        <v>406.38457931888007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>
      <c r="A40" s="32" t="s">
        <v>36</v>
      </c>
      <c r="B40" s="19">
        <f t="shared" si="15"/>
        <v>22.671987745199864</v>
      </c>
      <c r="C40" s="19">
        <f t="shared" si="15"/>
        <v>24.557405860664417</v>
      </c>
      <c r="D40" s="19">
        <f t="shared" si="15"/>
        <v>24.738722806964518</v>
      </c>
      <c r="E40" s="19">
        <f t="shared" si="15"/>
        <v>33.721707089956531</v>
      </c>
      <c r="F40" s="19">
        <v>41.52230299</v>
      </c>
      <c r="G40" s="20">
        <v>32.430960886277269</v>
      </c>
      <c r="H40" s="20">
        <v>23.314639783334719</v>
      </c>
      <c r="I40" s="20">
        <v>24.208592772244927</v>
      </c>
      <c r="J40" s="50">
        <f>SUM(B40:I40)</f>
        <v>227.16631993464222</v>
      </c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>
      <c r="A41" s="32" t="s">
        <v>37</v>
      </c>
      <c r="B41" s="19">
        <f t="shared" si="15"/>
        <v>9.7308460450902476</v>
      </c>
      <c r="C41" s="19">
        <f t="shared" si="15"/>
        <v>7.2407061190243649</v>
      </c>
      <c r="D41" s="19">
        <f t="shared" si="15"/>
        <v>5.2252063793586032</v>
      </c>
      <c r="E41" s="19">
        <f t="shared" si="15"/>
        <v>5.138533087743629</v>
      </c>
      <c r="F41" s="19">
        <v>5.8564076743763724</v>
      </c>
      <c r="G41" s="20">
        <v>7.2866159405825224</v>
      </c>
      <c r="H41" s="20">
        <v>7.2866159405825224</v>
      </c>
      <c r="I41" s="20">
        <v>7.2866159405825215</v>
      </c>
      <c r="J41" s="50">
        <f>SUM(B41:I41)</f>
        <v>55.051547127340783</v>
      </c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>
      <c r="A42" s="51" t="s">
        <v>38</v>
      </c>
      <c r="B42" s="19">
        <f t="shared" si="15"/>
        <v>4.9533270721799623</v>
      </c>
      <c r="C42" s="19">
        <f t="shared" si="15"/>
        <v>5.033911867650235</v>
      </c>
      <c r="D42" s="19">
        <f t="shared" si="15"/>
        <v>7.0698463850581028</v>
      </c>
      <c r="E42" s="19">
        <f t="shared" si="15"/>
        <v>6.9573598623101081</v>
      </c>
      <c r="F42" s="19">
        <v>6.9130919400000002</v>
      </c>
      <c r="G42" s="20">
        <v>6.938261024271843</v>
      </c>
      <c r="H42" s="20">
        <v>6.938261024271843</v>
      </c>
      <c r="I42" s="20">
        <v>6.938261024271843</v>
      </c>
      <c r="J42" s="52">
        <f>SUM(B42:I42)</f>
        <v>51.742320200013943</v>
      </c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>
      <c r="A43" s="53" t="s">
        <v>39</v>
      </c>
      <c r="B43" s="48">
        <f t="shared" ref="B43:J43" si="16">SUM(B39:B42)</f>
        <v>80.498678794484107</v>
      </c>
      <c r="C43" s="48">
        <f t="shared" si="16"/>
        <v>80.590729592177013</v>
      </c>
      <c r="D43" s="48">
        <f t="shared" si="16"/>
        <v>80.341365027821581</v>
      </c>
      <c r="E43" s="48">
        <f t="shared" si="16"/>
        <v>104.99912007351134</v>
      </c>
      <c r="F43" s="48">
        <f>SUM(F39:F42)</f>
        <v>116.00710314574341</v>
      </c>
      <c r="G43" s="54">
        <f t="shared" si="16"/>
        <v>91.255403245782063</v>
      </c>
      <c r="H43" s="54">
        <f t="shared" si="16"/>
        <v>96.499749033744138</v>
      </c>
      <c r="I43" s="54">
        <f t="shared" si="16"/>
        <v>90.152617667613299</v>
      </c>
      <c r="J43" s="55">
        <f t="shared" si="16"/>
        <v>740.34476658087704</v>
      </c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25.2">
      <c r="A44" s="53" t="s">
        <v>40</v>
      </c>
      <c r="B44" s="48">
        <f t="shared" ref="B44:J44" si="17">+B43+B37</f>
        <v>316.91539499366695</v>
      </c>
      <c r="C44" s="48">
        <f t="shared" si="17"/>
        <v>305.96751936560895</v>
      </c>
      <c r="D44" s="48">
        <f t="shared" si="17"/>
        <v>301.69327052847387</v>
      </c>
      <c r="E44" s="48">
        <f t="shared" si="17"/>
        <v>324.29166604457174</v>
      </c>
      <c r="F44" s="48">
        <f>+F43+F37</f>
        <v>310.9041425667599</v>
      </c>
      <c r="G44" s="48">
        <f t="shared" si="17"/>
        <v>303.47513414872293</v>
      </c>
      <c r="H44" s="48">
        <f t="shared" si="17"/>
        <v>312.78446300146123</v>
      </c>
      <c r="I44" s="48">
        <f t="shared" si="17"/>
        <v>310.218629985863</v>
      </c>
      <c r="J44" s="48">
        <f t="shared" si="17"/>
        <v>2486.2502206351287</v>
      </c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>
      <c r="B45" s="56"/>
      <c r="C45" s="56"/>
      <c r="D45" s="56"/>
      <c r="E45" s="56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>
      <c r="A46" s="57" t="s">
        <v>41</v>
      </c>
      <c r="B46" s="58"/>
      <c r="C46" s="58"/>
      <c r="D46" s="58"/>
      <c r="E46" s="58"/>
      <c r="F46" s="59"/>
      <c r="G46" s="59"/>
      <c r="H46" s="59"/>
      <c r="I46" s="59"/>
      <c r="J46" s="60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>
      <c r="A47" s="61" t="s">
        <v>42</v>
      </c>
      <c r="B47" s="19">
        <f t="shared" ref="B47:E51" si="18">+B97</f>
        <v>0</v>
      </c>
      <c r="C47" s="19">
        <f t="shared" si="18"/>
        <v>0</v>
      </c>
      <c r="D47" s="19">
        <f t="shared" si="18"/>
        <v>0.23214529192836708</v>
      </c>
      <c r="E47" s="19">
        <f t="shared" si="18"/>
        <v>0.44259490313101785</v>
      </c>
      <c r="F47" s="62">
        <v>0.39648155495397308</v>
      </c>
      <c r="G47" s="20">
        <v>0</v>
      </c>
      <c r="H47" s="20">
        <v>0</v>
      </c>
      <c r="I47" s="20">
        <v>0</v>
      </c>
      <c r="J47" s="63">
        <f>SUM(B47:I47)</f>
        <v>1.0712217500133581</v>
      </c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>
      <c r="A48" s="61" t="s">
        <v>43</v>
      </c>
      <c r="B48" s="19">
        <f t="shared" si="18"/>
        <v>1.8942812100658912</v>
      </c>
      <c r="C48" s="19">
        <f t="shared" si="18"/>
        <v>1.235507620417003</v>
      </c>
      <c r="D48" s="19">
        <f t="shared" si="18"/>
        <v>1.3533602901183091</v>
      </c>
      <c r="E48" s="19">
        <f t="shared" si="18"/>
        <v>1.1436255689857802</v>
      </c>
      <c r="F48" s="62">
        <v>0.55429454000000011</v>
      </c>
      <c r="G48" s="20">
        <v>0.21251440824703693</v>
      </c>
      <c r="H48" s="20">
        <v>0.42949844100871409</v>
      </c>
      <c r="I48" s="20">
        <v>0.59042123458246776</v>
      </c>
      <c r="J48" s="62">
        <f>SUM(B48:I48)</f>
        <v>7.4135033134252026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32">
      <c r="A49" s="61" t="s">
        <v>44</v>
      </c>
      <c r="B49" s="19">
        <f t="shared" si="18"/>
        <v>0</v>
      </c>
      <c r="C49" s="19">
        <f t="shared" si="18"/>
        <v>0.17999576194436062</v>
      </c>
      <c r="D49" s="19">
        <f t="shared" si="18"/>
        <v>0.68943498141875981</v>
      </c>
      <c r="E49" s="19">
        <f t="shared" si="18"/>
        <v>6.1199090581489335</v>
      </c>
      <c r="F49" s="62">
        <v>8.0522604900000001</v>
      </c>
      <c r="G49" s="20">
        <v>4.1404635100019274</v>
      </c>
      <c r="H49" s="20">
        <v>0.21256050523140727</v>
      </c>
      <c r="I49" s="20">
        <v>0.20636942255476431</v>
      </c>
      <c r="J49" s="62">
        <f>SUM(B49:I49)</f>
        <v>19.600993729300157</v>
      </c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32">
      <c r="A50" s="32" t="s">
        <v>24</v>
      </c>
      <c r="B50" s="19">
        <f t="shared" si="18"/>
        <v>0</v>
      </c>
      <c r="C50" s="19">
        <f t="shared" si="18"/>
        <v>0</v>
      </c>
      <c r="D50" s="19">
        <f t="shared" si="18"/>
        <v>0</v>
      </c>
      <c r="E50" s="19">
        <f t="shared" si="18"/>
        <v>0</v>
      </c>
      <c r="F50" s="64"/>
      <c r="G50" s="20">
        <v>0</v>
      </c>
      <c r="H50" s="20">
        <v>0</v>
      </c>
      <c r="I50" s="20">
        <v>0</v>
      </c>
      <c r="J50" s="62">
        <f>SUM(B50:I50)</f>
        <v>0</v>
      </c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32">
      <c r="A51" s="32" t="s">
        <v>45</v>
      </c>
      <c r="B51" s="19">
        <f t="shared" si="18"/>
        <v>0</v>
      </c>
      <c r="C51" s="19">
        <f t="shared" si="18"/>
        <v>0</v>
      </c>
      <c r="D51" s="19">
        <f t="shared" si="18"/>
        <v>0</v>
      </c>
      <c r="E51" s="19">
        <f t="shared" si="18"/>
        <v>0</v>
      </c>
      <c r="F51" s="64"/>
      <c r="G51" s="20">
        <v>0</v>
      </c>
      <c r="H51" s="20">
        <v>0</v>
      </c>
      <c r="I51" s="20">
        <v>0</v>
      </c>
      <c r="J51" s="62">
        <f>SUM(B51:I51)</f>
        <v>0</v>
      </c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32">
      <c r="A52" s="65" t="s">
        <v>46</v>
      </c>
      <c r="B52" s="54">
        <f t="shared" ref="B52:J52" si="19">SUM(B47:B51)</f>
        <v>1.8942812100658912</v>
      </c>
      <c r="C52" s="54">
        <f>SUM(C47:C51)</f>
        <v>1.4155033823613636</v>
      </c>
      <c r="D52" s="54">
        <f>SUM(D47:D51)</f>
        <v>2.274940563465436</v>
      </c>
      <c r="E52" s="54">
        <f t="shared" ref="E52:F52" si="20">SUM(E47:E51)</f>
        <v>7.7061295302657316</v>
      </c>
      <c r="F52" s="48">
        <f t="shared" si="20"/>
        <v>9.0030365849539731</v>
      </c>
      <c r="G52" s="48">
        <f t="shared" si="19"/>
        <v>4.3529779182489641</v>
      </c>
      <c r="H52" s="48">
        <f t="shared" si="19"/>
        <v>0.64205894624012139</v>
      </c>
      <c r="I52" s="48">
        <f t="shared" si="19"/>
        <v>0.79679065713723207</v>
      </c>
      <c r="J52" s="48">
        <f t="shared" si="19"/>
        <v>28.085718792738717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32" s="71" customFormat="1">
      <c r="A53" s="66"/>
      <c r="B53" s="67"/>
      <c r="C53" s="68"/>
      <c r="D53" s="69"/>
      <c r="E53" s="69"/>
      <c r="F53" s="68"/>
      <c r="G53" s="68"/>
      <c r="H53" s="68"/>
      <c r="I53" s="68"/>
      <c r="J53" s="68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</row>
    <row r="54" spans="1:32" ht="25.2">
      <c r="A54" s="53" t="s">
        <v>47</v>
      </c>
      <c r="B54" s="72">
        <f t="shared" ref="B54:I54" si="21">+B44-B52</f>
        <v>315.02111378360104</v>
      </c>
      <c r="C54" s="72">
        <f t="shared" si="21"/>
        <v>304.5520159832476</v>
      </c>
      <c r="D54" s="72">
        <f>+D44-D52</f>
        <v>299.41832996500841</v>
      </c>
      <c r="E54" s="72">
        <f t="shared" ref="E54:F54" si="22">+E44-E52</f>
        <v>316.585536514306</v>
      </c>
      <c r="F54" s="72">
        <f t="shared" si="22"/>
        <v>301.90110598180593</v>
      </c>
      <c r="G54" s="72">
        <f t="shared" si="21"/>
        <v>299.12215623047399</v>
      </c>
      <c r="H54" s="72">
        <f t="shared" si="21"/>
        <v>312.14240405522111</v>
      </c>
      <c r="I54" s="72">
        <f t="shared" si="21"/>
        <v>309.42183932872575</v>
      </c>
      <c r="J54" s="72">
        <f>SUM(B54:I54)</f>
        <v>2458.1645018423897</v>
      </c>
    </row>
    <row r="55" spans="1:32">
      <c r="B55" s="56"/>
      <c r="C55" s="49"/>
      <c r="D55" s="73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7" spans="1:32">
      <c r="A57" s="8" t="s">
        <v>48</v>
      </c>
      <c r="L57" s="8" t="s">
        <v>49</v>
      </c>
      <c r="O57" s="8"/>
      <c r="W57" s="8" t="s">
        <v>50</v>
      </c>
      <c r="Z57" s="8"/>
    </row>
    <row r="58" spans="1:32">
      <c r="A58" s="9" t="str">
        <f>+A8</f>
        <v>2017/18 prices</v>
      </c>
      <c r="O58" s="8"/>
      <c r="Z58" s="8"/>
    </row>
    <row r="59" spans="1:32" ht="12.75" customHeight="1">
      <c r="A59" s="10"/>
      <c r="B59" s="629" t="s">
        <v>3</v>
      </c>
      <c r="C59" s="630"/>
      <c r="D59" s="630"/>
      <c r="E59" s="630"/>
      <c r="F59" s="631"/>
      <c r="G59" s="629" t="s">
        <v>5</v>
      </c>
      <c r="H59" s="630"/>
      <c r="I59" s="631"/>
      <c r="J59" s="74"/>
      <c r="L59" s="10"/>
      <c r="M59" s="629"/>
      <c r="N59" s="630"/>
      <c r="O59" s="630"/>
      <c r="P59" s="630"/>
      <c r="Q59" s="630"/>
      <c r="R59" s="630"/>
      <c r="S59" s="630"/>
      <c r="T59" s="630"/>
      <c r="U59" s="631"/>
      <c r="W59" s="10"/>
      <c r="X59" s="629"/>
      <c r="Y59" s="630"/>
      <c r="Z59" s="630"/>
      <c r="AA59" s="630"/>
      <c r="AB59" s="630"/>
      <c r="AC59" s="630"/>
      <c r="AD59" s="630"/>
      <c r="AE59" s="630"/>
      <c r="AF59" s="631"/>
    </row>
    <row r="60" spans="1:32">
      <c r="A60" s="11"/>
      <c r="B60" s="632"/>
      <c r="C60" s="633"/>
      <c r="D60" s="633"/>
      <c r="E60" s="633"/>
      <c r="F60" s="634"/>
      <c r="G60" s="632"/>
      <c r="H60" s="633"/>
      <c r="I60" s="634"/>
      <c r="J60" s="75"/>
      <c r="L60" s="11"/>
      <c r="M60" s="632"/>
      <c r="N60" s="633"/>
      <c r="O60" s="633"/>
      <c r="P60" s="633"/>
      <c r="Q60" s="633"/>
      <c r="R60" s="633"/>
      <c r="S60" s="633"/>
      <c r="T60" s="633"/>
      <c r="U60" s="634"/>
      <c r="W60" s="11"/>
      <c r="X60" s="632"/>
      <c r="Y60" s="633"/>
      <c r="Z60" s="633"/>
      <c r="AA60" s="633"/>
      <c r="AB60" s="633"/>
      <c r="AC60" s="633"/>
      <c r="AD60" s="633"/>
      <c r="AE60" s="633"/>
      <c r="AF60" s="634"/>
    </row>
    <row r="61" spans="1:32" ht="25.2">
      <c r="A61" s="12" t="s">
        <v>7</v>
      </c>
      <c r="B61" s="13">
        <v>2014</v>
      </c>
      <c r="C61" s="14">
        <v>2015</v>
      </c>
      <c r="D61" s="14">
        <v>2016</v>
      </c>
      <c r="E61" s="76">
        <v>2017</v>
      </c>
      <c r="F61" s="14">
        <v>2018</v>
      </c>
      <c r="G61" s="76">
        <v>2019</v>
      </c>
      <c r="H61" s="14">
        <v>2020</v>
      </c>
      <c r="I61" s="77">
        <v>2021</v>
      </c>
      <c r="J61" s="78" t="s">
        <v>6</v>
      </c>
      <c r="L61" s="12" t="s">
        <v>7</v>
      </c>
      <c r="M61" s="13">
        <v>2014</v>
      </c>
      <c r="N61" s="14">
        <v>2015</v>
      </c>
      <c r="O61" s="14">
        <v>2016</v>
      </c>
      <c r="P61" s="76">
        <v>2017</v>
      </c>
      <c r="Q61" s="14">
        <v>2018</v>
      </c>
      <c r="R61" s="76">
        <v>2019</v>
      </c>
      <c r="S61" s="14">
        <v>2020</v>
      </c>
      <c r="T61" s="77">
        <v>2021</v>
      </c>
      <c r="U61" s="78" t="s">
        <v>6</v>
      </c>
      <c r="W61" s="12" t="s">
        <v>7</v>
      </c>
      <c r="X61" s="13">
        <v>2014</v>
      </c>
      <c r="Y61" s="14">
        <v>2015</v>
      </c>
      <c r="Z61" s="14">
        <v>2016</v>
      </c>
      <c r="AA61" s="76">
        <v>2017</v>
      </c>
      <c r="AB61" s="14">
        <v>2018</v>
      </c>
      <c r="AC61" s="76">
        <v>2019</v>
      </c>
      <c r="AD61" s="14">
        <v>2020</v>
      </c>
      <c r="AE61" s="77">
        <v>2021</v>
      </c>
      <c r="AF61" s="78" t="s">
        <v>6</v>
      </c>
    </row>
    <row r="62" spans="1:32">
      <c r="A62" s="15" t="s">
        <v>8</v>
      </c>
      <c r="B62" s="16">
        <v>9.2671478795196371</v>
      </c>
      <c r="C62" s="79">
        <v>6.813223107752397</v>
      </c>
      <c r="D62" s="79">
        <v>11.89714674667162</v>
      </c>
      <c r="E62" s="79">
        <v>9.5762144596144836</v>
      </c>
      <c r="F62" s="79">
        <v>13.098498791268833</v>
      </c>
      <c r="G62" s="79">
        <v>12.750539304727175</v>
      </c>
      <c r="H62" s="79">
        <v>6.8341323116328052</v>
      </c>
      <c r="I62" s="80">
        <v>8.2499227627319254</v>
      </c>
      <c r="J62" s="18">
        <v>78.486825363918882</v>
      </c>
      <c r="K62" s="49"/>
      <c r="L62" s="15" t="s">
        <v>8</v>
      </c>
      <c r="M62" s="81">
        <f>B12-B62</f>
        <v>0</v>
      </c>
      <c r="N62" s="79">
        <f t="shared" ref="N62:U85" si="23">C12-C62</f>
        <v>0</v>
      </c>
      <c r="O62" s="79">
        <f t="shared" si="23"/>
        <v>0</v>
      </c>
      <c r="P62" s="79">
        <f t="shared" si="23"/>
        <v>0</v>
      </c>
      <c r="Q62" s="79">
        <f t="shared" si="23"/>
        <v>-5.5926183845387332</v>
      </c>
      <c r="R62" s="79">
        <f t="shared" si="23"/>
        <v>-4.028674056312223</v>
      </c>
      <c r="S62" s="79">
        <f t="shared" si="23"/>
        <v>0.71836525063875278</v>
      </c>
      <c r="T62" s="80">
        <f t="shared" si="23"/>
        <v>0.61243282606868554</v>
      </c>
      <c r="U62" s="18">
        <f t="shared" si="23"/>
        <v>-8.2904943641435267</v>
      </c>
      <c r="W62" s="15" t="s">
        <v>8</v>
      </c>
      <c r="X62" s="82">
        <f>M62/B62</f>
        <v>0</v>
      </c>
      <c r="Y62" s="83">
        <f t="shared" ref="Y62:Z94" si="24">N62/C62</f>
        <v>0</v>
      </c>
      <c r="Z62" s="83">
        <f>O62/D62</f>
        <v>0</v>
      </c>
      <c r="AA62" s="83">
        <f t="shared" ref="AA62:AF94" si="25">P62/E62</f>
        <v>0</v>
      </c>
      <c r="AB62" s="83">
        <f t="shared" si="25"/>
        <v>-0.42696636260841186</v>
      </c>
      <c r="AC62" s="83">
        <f t="shared" si="25"/>
        <v>-0.31596107113827099</v>
      </c>
      <c r="AD62" s="83">
        <f t="shared" si="25"/>
        <v>0.10511433169299024</v>
      </c>
      <c r="AE62" s="84">
        <f t="shared" si="25"/>
        <v>7.4234976942484862E-2</v>
      </c>
      <c r="AF62" s="85">
        <f t="shared" si="25"/>
        <v>-0.10562912088370367</v>
      </c>
    </row>
    <row r="63" spans="1:32">
      <c r="A63" s="15" t="s">
        <v>9</v>
      </c>
      <c r="B63" s="19">
        <v>11.231001622908057</v>
      </c>
      <c r="C63" s="64">
        <v>10.193412984498703</v>
      </c>
      <c r="D63" s="64">
        <v>12.581628215978416</v>
      </c>
      <c r="E63" s="64">
        <v>11.504695117034478</v>
      </c>
      <c r="F63" s="64">
        <v>12.319374149910871</v>
      </c>
      <c r="G63" s="64">
        <v>12.799538077068808</v>
      </c>
      <c r="H63" s="64">
        <v>13.196336364606768</v>
      </c>
      <c r="I63" s="86">
        <v>13.163447001957332</v>
      </c>
      <c r="J63" s="21">
        <v>96.989433533963421</v>
      </c>
      <c r="K63" s="49"/>
      <c r="L63" s="15" t="s">
        <v>9</v>
      </c>
      <c r="M63" s="87">
        <f t="shared" ref="M63:M85" si="26">B13-B63</f>
        <v>0</v>
      </c>
      <c r="N63" s="64">
        <f t="shared" si="23"/>
        <v>0</v>
      </c>
      <c r="O63" s="64">
        <f t="shared" si="23"/>
        <v>0</v>
      </c>
      <c r="P63" s="64">
        <f t="shared" si="23"/>
        <v>0</v>
      </c>
      <c r="Q63" s="64">
        <f t="shared" si="23"/>
        <v>0.27301297034765781</v>
      </c>
      <c r="R63" s="64">
        <f t="shared" si="23"/>
        <v>-1.538039331791639</v>
      </c>
      <c r="S63" s="64">
        <f t="shared" si="23"/>
        <v>-1.2785889458807311</v>
      </c>
      <c r="T63" s="86">
        <f t="shared" si="23"/>
        <v>-1.1808427748731329</v>
      </c>
      <c r="U63" s="21">
        <f t="shared" si="23"/>
        <v>-3.7244580821978417</v>
      </c>
      <c r="W63" s="15" t="s">
        <v>9</v>
      </c>
      <c r="X63" s="88">
        <f t="shared" ref="X63:AF94" si="27">M63/B63</f>
        <v>0</v>
      </c>
      <c r="Y63" s="89">
        <f t="shared" si="24"/>
        <v>0</v>
      </c>
      <c r="Z63" s="89">
        <f t="shared" si="24"/>
        <v>0</v>
      </c>
      <c r="AA63" s="89">
        <f t="shared" si="25"/>
        <v>0</v>
      </c>
      <c r="AB63" s="89">
        <f t="shared" si="25"/>
        <v>2.2161269478907175E-2</v>
      </c>
      <c r="AC63" s="89">
        <f t="shared" si="25"/>
        <v>-0.12016365922979165</v>
      </c>
      <c r="AD63" s="89">
        <f t="shared" si="25"/>
        <v>-9.6889690483335233E-2</v>
      </c>
      <c r="AE63" s="90">
        <f t="shared" si="25"/>
        <v>-8.9706197373495569E-2</v>
      </c>
      <c r="AF63" s="91">
        <f t="shared" si="25"/>
        <v>-3.8400658159258388E-2</v>
      </c>
    </row>
    <row r="64" spans="1:32">
      <c r="A64" s="15" t="s">
        <v>10</v>
      </c>
      <c r="B64" s="19">
        <v>4.1339438269439928</v>
      </c>
      <c r="C64" s="64">
        <v>3.7513337704891954</v>
      </c>
      <c r="D64" s="64">
        <v>3.619728407492433</v>
      </c>
      <c r="E64" s="64">
        <v>3.6651841964350624</v>
      </c>
      <c r="F64" s="64">
        <v>3.6454668425212025</v>
      </c>
      <c r="G64" s="64">
        <v>3.8485903077609156</v>
      </c>
      <c r="H64" s="64">
        <v>3.9326653376652145</v>
      </c>
      <c r="I64" s="86">
        <v>3.978923376486621</v>
      </c>
      <c r="J64" s="21">
        <v>30.57583606579464</v>
      </c>
      <c r="K64" s="49"/>
      <c r="L64" s="15" t="s">
        <v>10</v>
      </c>
      <c r="M64" s="87">
        <f t="shared" si="26"/>
        <v>0</v>
      </c>
      <c r="N64" s="64">
        <f t="shared" si="23"/>
        <v>0</v>
      </c>
      <c r="O64" s="64">
        <f t="shared" si="23"/>
        <v>0</v>
      </c>
      <c r="P64" s="64">
        <f t="shared" si="23"/>
        <v>0</v>
      </c>
      <c r="Q64" s="64">
        <f t="shared" si="23"/>
        <v>0.9142816011051953</v>
      </c>
      <c r="R64" s="64">
        <f t="shared" si="23"/>
        <v>0.57207228388855169</v>
      </c>
      <c r="S64" s="64">
        <f t="shared" si="23"/>
        <v>7.7888430071878734E-2</v>
      </c>
      <c r="T64" s="86">
        <f t="shared" si="23"/>
        <v>-0.16246341086175908</v>
      </c>
      <c r="U64" s="21">
        <f t="shared" si="23"/>
        <v>1.4017789042038622</v>
      </c>
      <c r="W64" s="15" t="s">
        <v>10</v>
      </c>
      <c r="X64" s="88">
        <f t="shared" si="27"/>
        <v>0</v>
      </c>
      <c r="Y64" s="89">
        <f t="shared" si="24"/>
        <v>0</v>
      </c>
      <c r="Z64" s="89">
        <f t="shared" si="24"/>
        <v>0</v>
      </c>
      <c r="AA64" s="89">
        <f t="shared" si="25"/>
        <v>0</v>
      </c>
      <c r="AB64" s="89">
        <f t="shared" si="25"/>
        <v>0.25079959319363299</v>
      </c>
      <c r="AC64" s="89">
        <f t="shared" si="25"/>
        <v>0.1486446304079011</v>
      </c>
      <c r="AD64" s="89">
        <f t="shared" si="25"/>
        <v>1.9805506796090701E-2</v>
      </c>
      <c r="AE64" s="90">
        <f t="shared" si="25"/>
        <v>-4.0830997606496722E-2</v>
      </c>
      <c r="AF64" s="91">
        <f t="shared" si="25"/>
        <v>4.5845971347682632E-2</v>
      </c>
    </row>
    <row r="65" spans="1:32">
      <c r="A65" s="15" t="s">
        <v>11</v>
      </c>
      <c r="B65" s="19">
        <v>2.477117614856676</v>
      </c>
      <c r="C65" s="64">
        <v>2.2777977054363645</v>
      </c>
      <c r="D65" s="64">
        <v>2.5722378961735468</v>
      </c>
      <c r="E65" s="64">
        <v>1.6762805518654431</v>
      </c>
      <c r="F65" s="64">
        <v>1.7770284330111221</v>
      </c>
      <c r="G65" s="64">
        <v>1.857962842618291</v>
      </c>
      <c r="H65" s="64">
        <v>1.9245917027999824</v>
      </c>
      <c r="I65" s="86">
        <v>1.9599980417444576</v>
      </c>
      <c r="J65" s="21">
        <v>16.523014788505883</v>
      </c>
      <c r="K65" s="49"/>
      <c r="L65" s="15" t="s">
        <v>11</v>
      </c>
      <c r="M65" s="87">
        <f t="shared" si="26"/>
        <v>0</v>
      </c>
      <c r="N65" s="64">
        <f t="shared" si="23"/>
        <v>0</v>
      </c>
      <c r="O65" s="64">
        <f t="shared" si="23"/>
        <v>0</v>
      </c>
      <c r="P65" s="64">
        <f t="shared" si="23"/>
        <v>0</v>
      </c>
      <c r="Q65" s="64">
        <f t="shared" si="23"/>
        <v>-0.79287647138371387</v>
      </c>
      <c r="R65" s="64">
        <f t="shared" si="23"/>
        <v>7.7479373151239761E-2</v>
      </c>
      <c r="S65" s="64">
        <f t="shared" si="23"/>
        <v>-1.8084054087267987E-2</v>
      </c>
      <c r="T65" s="86">
        <f t="shared" si="23"/>
        <v>-5.5620048391030075E-2</v>
      </c>
      <c r="U65" s="21">
        <f t="shared" si="23"/>
        <v>-0.78910120071077117</v>
      </c>
      <c r="W65" s="15" t="s">
        <v>11</v>
      </c>
      <c r="X65" s="88">
        <f t="shared" si="27"/>
        <v>0</v>
      </c>
      <c r="Y65" s="89">
        <f t="shared" si="24"/>
        <v>0</v>
      </c>
      <c r="Z65" s="89">
        <f t="shared" si="24"/>
        <v>0</v>
      </c>
      <c r="AA65" s="89">
        <f t="shared" si="25"/>
        <v>0</v>
      </c>
      <c r="AB65" s="89">
        <f t="shared" si="25"/>
        <v>-0.44618108334947015</v>
      </c>
      <c r="AC65" s="89">
        <f t="shared" si="25"/>
        <v>4.1701250086386955E-2</v>
      </c>
      <c r="AD65" s="89">
        <f t="shared" si="25"/>
        <v>-9.3963067911799134E-3</v>
      </c>
      <c r="AE65" s="90">
        <f t="shared" si="25"/>
        <v>-2.8377604062056382E-2</v>
      </c>
      <c r="AF65" s="91">
        <f t="shared" si="25"/>
        <v>-4.7757701049792912E-2</v>
      </c>
    </row>
    <row r="66" spans="1:32">
      <c r="A66" s="15" t="s">
        <v>12</v>
      </c>
      <c r="B66" s="19">
        <v>28.611774324509128</v>
      </c>
      <c r="C66" s="64">
        <v>23.354821268082745</v>
      </c>
      <c r="D66" s="64">
        <v>21.061272168503962</v>
      </c>
      <c r="E66" s="64">
        <v>23.581705684341621</v>
      </c>
      <c r="F66" s="64">
        <v>15.190830048616512</v>
      </c>
      <c r="G66" s="64">
        <v>13.804742618413565</v>
      </c>
      <c r="H66" s="64">
        <v>19.537443868760462</v>
      </c>
      <c r="I66" s="86">
        <v>18.907626519616503</v>
      </c>
      <c r="J66" s="21">
        <v>164.0502165008445</v>
      </c>
      <c r="K66" s="49"/>
      <c r="L66" s="15" t="s">
        <v>12</v>
      </c>
      <c r="M66" s="87">
        <f t="shared" si="26"/>
        <v>0</v>
      </c>
      <c r="N66" s="64">
        <f t="shared" si="23"/>
        <v>0</v>
      </c>
      <c r="O66" s="64">
        <f t="shared" si="23"/>
        <v>0</v>
      </c>
      <c r="P66" s="64">
        <f t="shared" si="23"/>
        <v>0</v>
      </c>
      <c r="Q66" s="64">
        <f t="shared" si="23"/>
        <v>8.6613651264334521</v>
      </c>
      <c r="R66" s="64">
        <f t="shared" si="23"/>
        <v>6.6108564737209417</v>
      </c>
      <c r="S66" s="64">
        <f t="shared" si="23"/>
        <v>1.8570371472815594E-2</v>
      </c>
      <c r="T66" s="86">
        <f t="shared" si="23"/>
        <v>0.78494526357246741</v>
      </c>
      <c r="U66" s="21">
        <f t="shared" si="23"/>
        <v>16.075737235199682</v>
      </c>
      <c r="W66" s="15" t="s">
        <v>12</v>
      </c>
      <c r="X66" s="88">
        <f t="shared" si="27"/>
        <v>0</v>
      </c>
      <c r="Y66" s="89">
        <f t="shared" si="24"/>
        <v>0</v>
      </c>
      <c r="Z66" s="89">
        <f t="shared" si="24"/>
        <v>0</v>
      </c>
      <c r="AA66" s="89">
        <f t="shared" si="25"/>
        <v>0</v>
      </c>
      <c r="AB66" s="89">
        <f t="shared" si="25"/>
        <v>0.57017062916994954</v>
      </c>
      <c r="AC66" s="89">
        <f t="shared" si="25"/>
        <v>0.47888299379830512</v>
      </c>
      <c r="AD66" s="89">
        <f t="shared" si="25"/>
        <v>9.5050159056419984E-4</v>
      </c>
      <c r="AE66" s="90">
        <f t="shared" si="25"/>
        <v>4.1514743416266091E-2</v>
      </c>
      <c r="AF66" s="91">
        <f t="shared" si="25"/>
        <v>9.7992782808164883E-2</v>
      </c>
    </row>
    <row r="67" spans="1:32">
      <c r="A67" s="22" t="s">
        <v>13</v>
      </c>
      <c r="B67" s="23">
        <v>5.9714632691465139</v>
      </c>
      <c r="C67" s="92">
        <v>8.1024778564387034</v>
      </c>
      <c r="D67" s="92">
        <v>7.9361043037463208</v>
      </c>
      <c r="E67" s="92">
        <v>5.2958356814604191</v>
      </c>
      <c r="F67" s="92">
        <v>7.979611692655558</v>
      </c>
      <c r="G67" s="92">
        <v>6.4041274563297765</v>
      </c>
      <c r="H67" s="92">
        <v>6.0660970022607197</v>
      </c>
      <c r="I67" s="93">
        <v>6.0737246819244417</v>
      </c>
      <c r="J67" s="24">
        <v>53.829441943962451</v>
      </c>
      <c r="K67" s="49"/>
      <c r="L67" s="22" t="s">
        <v>13</v>
      </c>
      <c r="M67" s="94">
        <f t="shared" si="26"/>
        <v>0</v>
      </c>
      <c r="N67" s="92">
        <f t="shared" si="23"/>
        <v>0</v>
      </c>
      <c r="O67" s="92">
        <f t="shared" si="23"/>
        <v>0</v>
      </c>
      <c r="P67" s="92">
        <f t="shared" si="23"/>
        <v>0</v>
      </c>
      <c r="Q67" s="92">
        <f t="shared" si="23"/>
        <v>-4.7882552655558186E-2</v>
      </c>
      <c r="R67" s="92">
        <f t="shared" si="23"/>
        <v>3.1899668935202783</v>
      </c>
      <c r="S67" s="92">
        <f t="shared" si="23"/>
        <v>1.5904398147818428</v>
      </c>
      <c r="T67" s="93">
        <f t="shared" si="23"/>
        <v>2.9660866805836266</v>
      </c>
      <c r="U67" s="24">
        <f t="shared" si="23"/>
        <v>7.6986108362301948</v>
      </c>
      <c r="W67" s="22" t="s">
        <v>13</v>
      </c>
      <c r="X67" s="95">
        <f t="shared" si="27"/>
        <v>0</v>
      </c>
      <c r="Y67" s="96">
        <f t="shared" si="24"/>
        <v>0</v>
      </c>
      <c r="Z67" s="96">
        <f t="shared" si="24"/>
        <v>0</v>
      </c>
      <c r="AA67" s="96">
        <f t="shared" si="25"/>
        <v>0</v>
      </c>
      <c r="AB67" s="96">
        <f t="shared" si="25"/>
        <v>-6.0006118718319758E-3</v>
      </c>
      <c r="AC67" s="96">
        <f t="shared" si="25"/>
        <v>0.49811108777470481</v>
      </c>
      <c r="AD67" s="96">
        <f t="shared" si="25"/>
        <v>0.26218502839455354</v>
      </c>
      <c r="AE67" s="97">
        <f t="shared" si="25"/>
        <v>0.48834723928313306</v>
      </c>
      <c r="AF67" s="98">
        <f t="shared" si="25"/>
        <v>0.14301858905103654</v>
      </c>
    </row>
    <row r="68" spans="1:32">
      <c r="A68" s="22" t="s">
        <v>14</v>
      </c>
      <c r="B68" s="23">
        <v>5.7152096941624837</v>
      </c>
      <c r="C68" s="99">
        <v>5.6566334978121038</v>
      </c>
      <c r="D68" s="99">
        <v>5.1093066535978933</v>
      </c>
      <c r="E68" s="99">
        <v>4.245056951057089</v>
      </c>
      <c r="F68" s="99">
        <v>3.971440604511451</v>
      </c>
      <c r="G68" s="99">
        <v>5.1561015772130325</v>
      </c>
      <c r="H68" s="99">
        <v>9.2419109614603414</v>
      </c>
      <c r="I68" s="100">
        <v>7.2619399830938303</v>
      </c>
      <c r="J68" s="24">
        <v>46.357599922908221</v>
      </c>
      <c r="K68" s="49"/>
      <c r="L68" s="22" t="s">
        <v>14</v>
      </c>
      <c r="M68" s="94">
        <f t="shared" si="26"/>
        <v>0</v>
      </c>
      <c r="N68" s="99">
        <f t="shared" si="23"/>
        <v>0</v>
      </c>
      <c r="O68" s="99">
        <f t="shared" si="23"/>
        <v>0</v>
      </c>
      <c r="P68" s="99">
        <f t="shared" si="23"/>
        <v>0</v>
      </c>
      <c r="Q68" s="99">
        <f t="shared" si="23"/>
        <v>-1.7371317145114511</v>
      </c>
      <c r="R68" s="99">
        <f t="shared" si="23"/>
        <v>0.15160921575881048</v>
      </c>
      <c r="S68" s="99">
        <f t="shared" si="23"/>
        <v>-2.1949375416502308</v>
      </c>
      <c r="T68" s="100">
        <f t="shared" si="23"/>
        <v>-0.30770263890782434</v>
      </c>
      <c r="U68" s="24">
        <f t="shared" si="23"/>
        <v>-4.0881626793106918</v>
      </c>
      <c r="W68" s="22" t="s">
        <v>14</v>
      </c>
      <c r="X68" s="95">
        <f t="shared" si="27"/>
        <v>0</v>
      </c>
      <c r="Y68" s="101">
        <f t="shared" si="24"/>
        <v>0</v>
      </c>
      <c r="Z68" s="101">
        <f t="shared" si="24"/>
        <v>0</v>
      </c>
      <c r="AA68" s="101">
        <f t="shared" si="25"/>
        <v>0</v>
      </c>
      <c r="AB68" s="101">
        <f t="shared" si="25"/>
        <v>-0.43740594094196339</v>
      </c>
      <c r="AC68" s="101">
        <f t="shared" si="25"/>
        <v>2.9403845810337594E-2</v>
      </c>
      <c r="AD68" s="101">
        <f t="shared" si="25"/>
        <v>-0.23749823502989065</v>
      </c>
      <c r="AE68" s="102">
        <f t="shared" si="25"/>
        <v>-4.2371961159713784E-2</v>
      </c>
      <c r="AF68" s="98">
        <f t="shared" si="25"/>
        <v>-8.8187539607512605E-2</v>
      </c>
    </row>
    <row r="69" spans="1:32">
      <c r="A69" s="25" t="s">
        <v>15</v>
      </c>
      <c r="B69" s="26">
        <v>55.720985268737493</v>
      </c>
      <c r="C69" s="26">
        <v>46.390588836259404</v>
      </c>
      <c r="D69" s="103">
        <v>51.732013434819976</v>
      </c>
      <c r="E69" s="103">
        <v>50.004080009291087</v>
      </c>
      <c r="F69" s="103">
        <v>46.031198265328541</v>
      </c>
      <c r="G69" s="103">
        <v>45.061373150588757</v>
      </c>
      <c r="H69" s="103">
        <v>45.425169585465234</v>
      </c>
      <c r="I69" s="103">
        <v>46.259917702536846</v>
      </c>
      <c r="J69" s="26">
        <v>386.62532625302731</v>
      </c>
      <c r="K69" s="49"/>
      <c r="L69" s="25" t="s">
        <v>15</v>
      </c>
      <c r="M69" s="104">
        <f t="shared" si="26"/>
        <v>0</v>
      </c>
      <c r="N69" s="33">
        <f t="shared" si="23"/>
        <v>0</v>
      </c>
      <c r="O69" s="103">
        <f t="shared" si="23"/>
        <v>0</v>
      </c>
      <c r="P69" s="103">
        <f t="shared" si="23"/>
        <v>0</v>
      </c>
      <c r="Q69" s="103">
        <f t="shared" si="23"/>
        <v>3.4631648419638594</v>
      </c>
      <c r="R69" s="103">
        <f t="shared" si="23"/>
        <v>1.6936947426568665</v>
      </c>
      <c r="S69" s="103">
        <f t="shared" si="23"/>
        <v>-0.4818489477845489</v>
      </c>
      <c r="T69" s="103">
        <f t="shared" si="23"/>
        <v>-1.5481444847793568E-3</v>
      </c>
      <c r="U69" s="26">
        <f t="shared" si="23"/>
        <v>4.6734624923514048</v>
      </c>
      <c r="W69" s="25" t="s">
        <v>15</v>
      </c>
      <c r="X69" s="105">
        <f t="shared" si="27"/>
        <v>0</v>
      </c>
      <c r="Y69" s="106">
        <f t="shared" si="24"/>
        <v>0</v>
      </c>
      <c r="Z69" s="107">
        <f t="shared" si="24"/>
        <v>0</v>
      </c>
      <c r="AA69" s="107">
        <f t="shared" si="25"/>
        <v>0</v>
      </c>
      <c r="AB69" s="107">
        <f t="shared" si="25"/>
        <v>7.5235165984639862E-2</v>
      </c>
      <c r="AC69" s="107">
        <f t="shared" si="25"/>
        <v>3.758639882093201E-2</v>
      </c>
      <c r="AD69" s="107">
        <f t="shared" si="25"/>
        <v>-1.0607532171739584E-2</v>
      </c>
      <c r="AE69" s="107">
        <f t="shared" si="25"/>
        <v>-3.3466217876441621E-5</v>
      </c>
      <c r="AF69" s="105">
        <f t="shared" si="25"/>
        <v>1.2087833297534297E-2</v>
      </c>
    </row>
    <row r="70" spans="1:32">
      <c r="A70" s="15" t="s">
        <v>16</v>
      </c>
      <c r="B70" s="108">
        <v>70.469618337224631</v>
      </c>
      <c r="C70" s="64">
        <v>63.390002899773577</v>
      </c>
      <c r="D70" s="64">
        <v>60.324772592124084</v>
      </c>
      <c r="E70" s="64">
        <v>60.864771978528545</v>
      </c>
      <c r="F70" s="64">
        <v>62.594116289513586</v>
      </c>
      <c r="G70" s="64">
        <v>68.444324326863978</v>
      </c>
      <c r="H70" s="64">
        <v>69.590875036403432</v>
      </c>
      <c r="I70" s="86">
        <v>70.243843726205398</v>
      </c>
      <c r="J70" s="21">
        <v>525.92232518663729</v>
      </c>
      <c r="K70" s="49"/>
      <c r="L70" s="15" t="s">
        <v>16</v>
      </c>
      <c r="M70" s="81">
        <f t="shared" si="26"/>
        <v>0</v>
      </c>
      <c r="N70" s="79">
        <f t="shared" si="23"/>
        <v>0</v>
      </c>
      <c r="O70" s="79">
        <f t="shared" si="23"/>
        <v>0</v>
      </c>
      <c r="P70" s="79">
        <f t="shared" si="23"/>
        <v>0</v>
      </c>
      <c r="Q70" s="79">
        <f t="shared" si="23"/>
        <v>-10.2361903343443</v>
      </c>
      <c r="R70" s="79">
        <f t="shared" si="23"/>
        <v>-5.0593559982727569</v>
      </c>
      <c r="S70" s="79">
        <f t="shared" si="23"/>
        <v>-1.2762944300704788</v>
      </c>
      <c r="T70" s="79">
        <f t="shared" si="23"/>
        <v>-2.2938893966388036</v>
      </c>
      <c r="U70" s="27">
        <f t="shared" si="23"/>
        <v>-18.865730159326404</v>
      </c>
      <c r="W70" s="15" t="s">
        <v>16</v>
      </c>
      <c r="X70" s="82">
        <f t="shared" si="27"/>
        <v>0</v>
      </c>
      <c r="Y70" s="83">
        <f t="shared" si="24"/>
        <v>0</v>
      </c>
      <c r="Z70" s="83">
        <f t="shared" si="24"/>
        <v>0</v>
      </c>
      <c r="AA70" s="83">
        <f t="shared" si="25"/>
        <v>0</v>
      </c>
      <c r="AB70" s="83">
        <f t="shared" si="25"/>
        <v>-0.16353278776234073</v>
      </c>
      <c r="AC70" s="83">
        <f t="shared" si="25"/>
        <v>-7.3919292038171103E-2</v>
      </c>
      <c r="AD70" s="83">
        <f t="shared" si="25"/>
        <v>-1.8339968126609141E-2</v>
      </c>
      <c r="AE70" s="83">
        <f t="shared" si="25"/>
        <v>-3.2656091622489586E-2</v>
      </c>
      <c r="AF70" s="109">
        <f t="shared" si="25"/>
        <v>-3.5871704348415717E-2</v>
      </c>
    </row>
    <row r="71" spans="1:32">
      <c r="A71" s="15" t="s">
        <v>17</v>
      </c>
      <c r="B71" s="19">
        <v>6.5841376614669569</v>
      </c>
      <c r="C71" s="64">
        <v>16.864652988304318</v>
      </c>
      <c r="D71" s="64">
        <v>19.058798539808141</v>
      </c>
      <c r="E71" s="64">
        <v>17.228041412146929</v>
      </c>
      <c r="F71" s="64">
        <v>10.393955322585395</v>
      </c>
      <c r="G71" s="64">
        <v>8.9821252161006093</v>
      </c>
      <c r="H71" s="64">
        <v>9.1696940362253141</v>
      </c>
      <c r="I71" s="86">
        <v>9.3947491262259977</v>
      </c>
      <c r="J71" s="21">
        <v>97.676154302863665</v>
      </c>
      <c r="K71" s="49"/>
      <c r="L71" s="15" t="s">
        <v>17</v>
      </c>
      <c r="M71" s="87">
        <f t="shared" si="26"/>
        <v>0</v>
      </c>
      <c r="N71" s="64">
        <f t="shared" si="23"/>
        <v>0</v>
      </c>
      <c r="O71" s="64">
        <f t="shared" si="23"/>
        <v>0</v>
      </c>
      <c r="P71" s="64">
        <f t="shared" si="23"/>
        <v>0</v>
      </c>
      <c r="Q71" s="64">
        <f t="shared" si="23"/>
        <v>3.3002104707011615</v>
      </c>
      <c r="R71" s="64">
        <f t="shared" si="23"/>
        <v>1.230786128473417</v>
      </c>
      <c r="S71" s="64">
        <f t="shared" si="23"/>
        <v>0.18212028863331575</v>
      </c>
      <c r="T71" s="64">
        <f t="shared" si="23"/>
        <v>0.16986239410958781</v>
      </c>
      <c r="U71" s="28">
        <f t="shared" si="23"/>
        <v>4.8829792819174855</v>
      </c>
      <c r="W71" s="15" t="s">
        <v>17</v>
      </c>
      <c r="X71" s="88">
        <f t="shared" si="27"/>
        <v>0</v>
      </c>
      <c r="Y71" s="89">
        <f t="shared" si="24"/>
        <v>0</v>
      </c>
      <c r="Z71" s="89">
        <f t="shared" si="24"/>
        <v>0</v>
      </c>
      <c r="AA71" s="89">
        <f t="shared" si="25"/>
        <v>0</v>
      </c>
      <c r="AB71" s="89">
        <f t="shared" si="25"/>
        <v>0.31751247415216582</v>
      </c>
      <c r="AC71" s="89">
        <f t="shared" si="25"/>
        <v>0.13702616016387884</v>
      </c>
      <c r="AD71" s="89">
        <f t="shared" si="25"/>
        <v>1.9861108551042256E-2</v>
      </c>
      <c r="AE71" s="89">
        <f t="shared" si="25"/>
        <v>1.8080567328339497E-2</v>
      </c>
      <c r="AF71" s="110">
        <f t="shared" si="25"/>
        <v>4.9991518572453937E-2</v>
      </c>
    </row>
    <row r="72" spans="1:32">
      <c r="A72" s="15" t="s">
        <v>51</v>
      </c>
      <c r="B72" s="19">
        <v>1.6523490470917448</v>
      </c>
      <c r="C72" s="64">
        <v>2.6667485135565197</v>
      </c>
      <c r="D72" s="64">
        <v>2.2481702956793521</v>
      </c>
      <c r="E72" s="64">
        <v>1.948858822922956</v>
      </c>
      <c r="F72" s="64">
        <v>1.7522799200284058</v>
      </c>
      <c r="G72" s="64">
        <v>1.5533813915891674</v>
      </c>
      <c r="H72" s="64">
        <v>1.6308268692595274</v>
      </c>
      <c r="I72" s="86">
        <v>1.4400815336937478</v>
      </c>
      <c r="J72" s="21">
        <v>14.892696393821421</v>
      </c>
      <c r="K72" s="49"/>
      <c r="L72" s="15" t="s">
        <v>51</v>
      </c>
      <c r="M72" s="111">
        <f t="shared" si="26"/>
        <v>0</v>
      </c>
      <c r="N72" s="112">
        <f t="shared" si="23"/>
        <v>0</v>
      </c>
      <c r="O72" s="112">
        <f t="shared" si="23"/>
        <v>0</v>
      </c>
      <c r="P72" s="112">
        <f t="shared" si="23"/>
        <v>0</v>
      </c>
      <c r="Q72" s="112">
        <f t="shared" si="23"/>
        <v>-0.29801731498364625</v>
      </c>
      <c r="R72" s="112">
        <f t="shared" si="23"/>
        <v>-0.1479751106360272</v>
      </c>
      <c r="S72" s="112">
        <f t="shared" si="23"/>
        <v>-0.21158022872272686</v>
      </c>
      <c r="T72" s="112">
        <f t="shared" si="23"/>
        <v>-6.8807742822976081E-3</v>
      </c>
      <c r="U72" s="30">
        <f t="shared" si="23"/>
        <v>-0.66445342862469836</v>
      </c>
      <c r="W72" s="15" t="s">
        <v>51</v>
      </c>
      <c r="X72" s="113">
        <f t="shared" si="27"/>
        <v>0</v>
      </c>
      <c r="Y72" s="114">
        <f t="shared" si="24"/>
        <v>0</v>
      </c>
      <c r="Z72" s="114">
        <f t="shared" si="24"/>
        <v>0</v>
      </c>
      <c r="AA72" s="114">
        <f t="shared" si="25"/>
        <v>0</v>
      </c>
      <c r="AB72" s="114">
        <f t="shared" si="25"/>
        <v>-0.17007403416391095</v>
      </c>
      <c r="AC72" s="114">
        <f t="shared" si="25"/>
        <v>-9.5259999532145229E-2</v>
      </c>
      <c r="AD72" s="114">
        <f t="shared" si="25"/>
        <v>-0.12973800757820131</v>
      </c>
      <c r="AE72" s="114">
        <f t="shared" si="25"/>
        <v>-4.7780449379478639E-3</v>
      </c>
      <c r="AF72" s="115">
        <f t="shared" si="25"/>
        <v>-4.4616059513599045E-2</v>
      </c>
    </row>
    <row r="73" spans="1:32">
      <c r="A73" s="25" t="s">
        <v>19</v>
      </c>
      <c r="B73" s="116">
        <v>78.706105045783332</v>
      </c>
      <c r="C73" s="3">
        <v>82.921404401634405</v>
      </c>
      <c r="D73" s="3">
        <v>81.631741427611573</v>
      </c>
      <c r="E73" s="3">
        <v>80.041672213598432</v>
      </c>
      <c r="F73" s="3">
        <v>74.740351532127391</v>
      </c>
      <c r="G73" s="3">
        <v>78.97983093455376</v>
      </c>
      <c r="H73" s="3">
        <v>80.391395941888277</v>
      </c>
      <c r="I73" s="117">
        <v>81.078674386125144</v>
      </c>
      <c r="J73" s="118">
        <v>638.49117588332228</v>
      </c>
      <c r="K73" s="49"/>
      <c r="L73" s="25" t="s">
        <v>19</v>
      </c>
      <c r="M73" s="104">
        <f t="shared" si="26"/>
        <v>0</v>
      </c>
      <c r="N73" s="103">
        <f t="shared" si="23"/>
        <v>0</v>
      </c>
      <c r="O73" s="26">
        <f t="shared" si="23"/>
        <v>0</v>
      </c>
      <c r="P73" s="119">
        <f t="shared" si="23"/>
        <v>0</v>
      </c>
      <c r="Q73" s="26">
        <f t="shared" si="23"/>
        <v>-7.2339971786267938</v>
      </c>
      <c r="R73" s="26">
        <f t="shared" si="23"/>
        <v>-3.9765449804353636</v>
      </c>
      <c r="S73" s="26">
        <f t="shared" si="23"/>
        <v>-1.305754370159903</v>
      </c>
      <c r="T73" s="26">
        <f t="shared" si="23"/>
        <v>-2.1309077768115117</v>
      </c>
      <c r="U73" s="103">
        <f t="shared" si="23"/>
        <v>-14.647204306033586</v>
      </c>
      <c r="W73" s="25" t="s">
        <v>19</v>
      </c>
      <c r="X73" s="105">
        <f t="shared" si="27"/>
        <v>0</v>
      </c>
      <c r="Y73" s="107">
        <f t="shared" si="24"/>
        <v>0</v>
      </c>
      <c r="Z73" s="105">
        <f t="shared" si="24"/>
        <v>0</v>
      </c>
      <c r="AA73" s="120">
        <f t="shared" si="25"/>
        <v>0</v>
      </c>
      <c r="AB73" s="105">
        <f t="shared" si="25"/>
        <v>-9.6788375092365417E-2</v>
      </c>
      <c r="AC73" s="105">
        <f t="shared" si="25"/>
        <v>-5.0348866709153985E-2</v>
      </c>
      <c r="AD73" s="105">
        <f t="shared" si="25"/>
        <v>-1.6242464194847178E-2</v>
      </c>
      <c r="AE73" s="105">
        <f t="shared" si="25"/>
        <v>-2.6281976030631433E-2</v>
      </c>
      <c r="AF73" s="107">
        <f t="shared" si="25"/>
        <v>-2.2940339442858976E-2</v>
      </c>
    </row>
    <row r="74" spans="1:32">
      <c r="A74" s="32" t="s">
        <v>20</v>
      </c>
      <c r="B74" s="19">
        <v>24.79066187525974</v>
      </c>
      <c r="C74" s="64">
        <v>21.696552214368886</v>
      </c>
      <c r="D74" s="64">
        <v>21.839288064275689</v>
      </c>
      <c r="E74" s="64">
        <v>20.630572234505376</v>
      </c>
      <c r="F74" s="64">
        <v>21.448206311681826</v>
      </c>
      <c r="G74" s="64">
        <v>22.175681105709469</v>
      </c>
      <c r="H74" s="64">
        <v>22.334076193615616</v>
      </c>
      <c r="I74" s="86">
        <v>21.4570032692226</v>
      </c>
      <c r="J74" s="21">
        <v>176.37204126863921</v>
      </c>
      <c r="K74" s="49"/>
      <c r="L74" s="32" t="s">
        <v>20</v>
      </c>
      <c r="M74" s="121">
        <f t="shared" si="26"/>
        <v>0</v>
      </c>
      <c r="N74" s="79">
        <f t="shared" si="23"/>
        <v>0</v>
      </c>
      <c r="O74" s="79">
        <f t="shared" si="23"/>
        <v>0</v>
      </c>
      <c r="P74" s="79">
        <f t="shared" si="23"/>
        <v>0</v>
      </c>
      <c r="Q74" s="79">
        <f t="shared" si="23"/>
        <v>-1.7298532849498116</v>
      </c>
      <c r="R74" s="79">
        <f t="shared" si="23"/>
        <v>-1.017920441794061</v>
      </c>
      <c r="S74" s="79">
        <f t="shared" si="23"/>
        <v>-0.32117148283136032</v>
      </c>
      <c r="T74" s="79">
        <f t="shared" si="23"/>
        <v>1.8413272281020987</v>
      </c>
      <c r="U74" s="34">
        <f t="shared" si="23"/>
        <v>-1.2276179814731165</v>
      </c>
      <c r="W74" s="32" t="s">
        <v>20</v>
      </c>
      <c r="X74" s="106">
        <f t="shared" si="27"/>
        <v>0</v>
      </c>
      <c r="Y74" s="83">
        <f t="shared" si="24"/>
        <v>0</v>
      </c>
      <c r="Z74" s="83">
        <f t="shared" si="24"/>
        <v>0</v>
      </c>
      <c r="AA74" s="83">
        <f t="shared" si="25"/>
        <v>0</v>
      </c>
      <c r="AB74" s="83">
        <f t="shared" si="25"/>
        <v>-8.0652585107205077E-2</v>
      </c>
      <c r="AC74" s="83">
        <f t="shared" si="25"/>
        <v>-4.5902555909860275E-2</v>
      </c>
      <c r="AD74" s="83">
        <f t="shared" si="25"/>
        <v>-1.4380334339647766E-2</v>
      </c>
      <c r="AE74" s="83">
        <f t="shared" si="25"/>
        <v>8.5814743326401655E-2</v>
      </c>
      <c r="AF74" s="122">
        <f t="shared" si="25"/>
        <v>-6.960388804500387E-3</v>
      </c>
    </row>
    <row r="75" spans="1:32">
      <c r="A75" s="32" t="s">
        <v>21</v>
      </c>
      <c r="B75" s="19">
        <v>10.715182513521883</v>
      </c>
      <c r="C75" s="64">
        <v>11.043850817975454</v>
      </c>
      <c r="D75" s="64">
        <v>9.4607991766746355</v>
      </c>
      <c r="E75" s="64">
        <v>10.041426130369274</v>
      </c>
      <c r="F75" s="64">
        <v>10.05891068951766</v>
      </c>
      <c r="G75" s="64">
        <v>10.670117487540439</v>
      </c>
      <c r="H75" s="64">
        <v>10.733606399875494</v>
      </c>
      <c r="I75" s="86">
        <v>10.85318519853465</v>
      </c>
      <c r="J75" s="21">
        <v>83.577078414009492</v>
      </c>
      <c r="K75" s="49"/>
      <c r="L75" s="32" t="s">
        <v>21</v>
      </c>
      <c r="M75" s="87">
        <f t="shared" si="26"/>
        <v>0</v>
      </c>
      <c r="N75" s="64">
        <f t="shared" si="23"/>
        <v>0</v>
      </c>
      <c r="O75" s="64">
        <f t="shared" si="23"/>
        <v>0</v>
      </c>
      <c r="P75" s="64">
        <f t="shared" si="23"/>
        <v>0</v>
      </c>
      <c r="Q75" s="64">
        <f t="shared" si="23"/>
        <v>-0.1404614243862099</v>
      </c>
      <c r="R75" s="64">
        <f t="shared" si="23"/>
        <v>-1.4117312791548269</v>
      </c>
      <c r="S75" s="64">
        <f t="shared" si="23"/>
        <v>-1.5360256180454979</v>
      </c>
      <c r="T75" s="64">
        <f t="shared" si="23"/>
        <v>-1.3472771512175505</v>
      </c>
      <c r="U75" s="34">
        <f t="shared" si="23"/>
        <v>-4.4354954728040923</v>
      </c>
      <c r="W75" s="32" t="s">
        <v>21</v>
      </c>
      <c r="X75" s="88">
        <f t="shared" si="27"/>
        <v>0</v>
      </c>
      <c r="Y75" s="89">
        <f t="shared" si="24"/>
        <v>0</v>
      </c>
      <c r="Z75" s="89">
        <f t="shared" si="24"/>
        <v>0</v>
      </c>
      <c r="AA75" s="89">
        <f t="shared" si="25"/>
        <v>0</v>
      </c>
      <c r="AB75" s="89">
        <f t="shared" si="25"/>
        <v>-1.396388025719167E-2</v>
      </c>
      <c r="AC75" s="89">
        <f t="shared" si="25"/>
        <v>-0.13230700419215757</v>
      </c>
      <c r="AD75" s="89">
        <f t="shared" si="25"/>
        <v>-0.14310433612167064</v>
      </c>
      <c r="AE75" s="89">
        <f t="shared" si="25"/>
        <v>-0.12413656696832687</v>
      </c>
      <c r="AF75" s="122">
        <f t="shared" si="25"/>
        <v>-5.3070716959407363E-2</v>
      </c>
    </row>
    <row r="76" spans="1:32">
      <c r="A76" s="32" t="s">
        <v>22</v>
      </c>
      <c r="B76" s="19">
        <v>10.503676617955328</v>
      </c>
      <c r="C76" s="64">
        <v>10.579298044028697</v>
      </c>
      <c r="D76" s="64">
        <v>8.9715806210168196</v>
      </c>
      <c r="E76" s="64">
        <v>10.22577528608727</v>
      </c>
      <c r="F76" s="64">
        <v>9.6079268666843554</v>
      </c>
      <c r="G76" s="64">
        <v>10.114645826598084</v>
      </c>
      <c r="H76" s="64">
        <v>10.176462799380682</v>
      </c>
      <c r="I76" s="86">
        <v>10.335543567217643</v>
      </c>
      <c r="J76" s="21">
        <v>80.514909628968866</v>
      </c>
      <c r="K76" s="49"/>
      <c r="L76" s="32" t="s">
        <v>22</v>
      </c>
      <c r="M76" s="87">
        <f t="shared" si="26"/>
        <v>0</v>
      </c>
      <c r="N76" s="64">
        <f t="shared" si="23"/>
        <v>0</v>
      </c>
      <c r="O76" s="64">
        <f t="shared" si="23"/>
        <v>0</v>
      </c>
      <c r="P76" s="64">
        <f t="shared" si="23"/>
        <v>0</v>
      </c>
      <c r="Q76" s="64">
        <f t="shared" si="23"/>
        <v>-1.738972332653594</v>
      </c>
      <c r="R76" s="64">
        <f t="shared" si="23"/>
        <v>-1.2039779613564949</v>
      </c>
      <c r="S76" s="64">
        <f t="shared" si="23"/>
        <v>-1.3243166838529561</v>
      </c>
      <c r="T76" s="64">
        <f t="shared" si="23"/>
        <v>-1.1866500710216386</v>
      </c>
      <c r="U76" s="34">
        <f t="shared" si="23"/>
        <v>-5.4539170488846622</v>
      </c>
      <c r="W76" s="32" t="s">
        <v>22</v>
      </c>
      <c r="X76" s="88">
        <f t="shared" si="27"/>
        <v>0</v>
      </c>
      <c r="Y76" s="89">
        <f t="shared" si="24"/>
        <v>0</v>
      </c>
      <c r="Z76" s="89">
        <f t="shared" si="24"/>
        <v>0</v>
      </c>
      <c r="AA76" s="89">
        <f t="shared" si="25"/>
        <v>0</v>
      </c>
      <c r="AB76" s="89">
        <f t="shared" si="25"/>
        <v>-0.18099350221778948</v>
      </c>
      <c r="AC76" s="89">
        <f t="shared" si="25"/>
        <v>-0.11903313096642908</v>
      </c>
      <c r="AD76" s="89">
        <f t="shared" si="25"/>
        <v>-0.1301352650680894</v>
      </c>
      <c r="AE76" s="89">
        <f t="shared" si="25"/>
        <v>-0.11481254597827485</v>
      </c>
      <c r="AF76" s="122">
        <f t="shared" si="25"/>
        <v>-6.7737976407320835E-2</v>
      </c>
    </row>
    <row r="77" spans="1:32">
      <c r="A77" s="32" t="s">
        <v>23</v>
      </c>
      <c r="B77" s="19">
        <v>15.462480679430708</v>
      </c>
      <c r="C77" s="64">
        <v>19.062261562215042</v>
      </c>
      <c r="D77" s="64">
        <v>18.040368498919314</v>
      </c>
      <c r="E77" s="64">
        <v>18.375168617936119</v>
      </c>
      <c r="F77" s="64">
        <v>16.838915807554795</v>
      </c>
      <c r="G77" s="64">
        <v>17.590980402562707</v>
      </c>
      <c r="H77" s="64">
        <v>17.685488279288016</v>
      </c>
      <c r="I77" s="86">
        <v>17.855283550867835</v>
      </c>
      <c r="J77" s="21">
        <v>140.91094739877454</v>
      </c>
      <c r="K77" s="49"/>
      <c r="L77" s="32" t="s">
        <v>23</v>
      </c>
      <c r="M77" s="87">
        <f t="shared" si="26"/>
        <v>0</v>
      </c>
      <c r="N77" s="64">
        <f t="shared" si="23"/>
        <v>0</v>
      </c>
      <c r="O77" s="64">
        <f t="shared" si="23"/>
        <v>0</v>
      </c>
      <c r="P77" s="64">
        <f t="shared" si="23"/>
        <v>0</v>
      </c>
      <c r="Q77" s="64">
        <f t="shared" si="23"/>
        <v>-1.4326082717245967</v>
      </c>
      <c r="R77" s="64">
        <f t="shared" si="23"/>
        <v>-1.3834432584087608</v>
      </c>
      <c r="S77" s="64">
        <f t="shared" si="23"/>
        <v>-1.5281906794643128</v>
      </c>
      <c r="T77" s="64">
        <f t="shared" si="23"/>
        <v>-1.3173074813721541</v>
      </c>
      <c r="U77" s="34">
        <f t="shared" si="23"/>
        <v>-5.6615496909698209</v>
      </c>
      <c r="W77" s="32" t="s">
        <v>23</v>
      </c>
      <c r="X77" s="88">
        <f t="shared" si="27"/>
        <v>0</v>
      </c>
      <c r="Y77" s="89">
        <f t="shared" si="24"/>
        <v>0</v>
      </c>
      <c r="Z77" s="89">
        <f t="shared" si="24"/>
        <v>0</v>
      </c>
      <c r="AA77" s="89">
        <f t="shared" si="25"/>
        <v>0</v>
      </c>
      <c r="AB77" s="89">
        <f t="shared" si="25"/>
        <v>-8.5077227542277742E-2</v>
      </c>
      <c r="AC77" s="89">
        <f t="shared" si="25"/>
        <v>-7.8645034372684344E-2</v>
      </c>
      <c r="AD77" s="89">
        <f t="shared" si="25"/>
        <v>-8.640930096648905E-2</v>
      </c>
      <c r="AE77" s="89">
        <f t="shared" si="25"/>
        <v>-7.3776900692687566E-2</v>
      </c>
      <c r="AF77" s="122">
        <f t="shared" si="25"/>
        <v>-4.0178210390905779E-2</v>
      </c>
    </row>
    <row r="78" spans="1:32">
      <c r="A78" s="32" t="s">
        <v>24</v>
      </c>
      <c r="B78" s="19">
        <v>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86">
        <v>0</v>
      </c>
      <c r="J78" s="21">
        <v>0</v>
      </c>
      <c r="K78" s="49"/>
      <c r="L78" s="32" t="s">
        <v>24</v>
      </c>
      <c r="M78" s="87">
        <f t="shared" si="26"/>
        <v>0</v>
      </c>
      <c r="N78" s="64">
        <f t="shared" si="23"/>
        <v>0</v>
      </c>
      <c r="O78" s="64">
        <f t="shared" si="23"/>
        <v>0</v>
      </c>
      <c r="P78" s="64">
        <f t="shared" si="23"/>
        <v>0</v>
      </c>
      <c r="Q78" s="64">
        <f t="shared" si="23"/>
        <v>0</v>
      </c>
      <c r="R78" s="64">
        <f t="shared" si="23"/>
        <v>0</v>
      </c>
      <c r="S78" s="64">
        <f t="shared" si="23"/>
        <v>0</v>
      </c>
      <c r="T78" s="64">
        <f t="shared" si="23"/>
        <v>0</v>
      </c>
      <c r="U78" s="34">
        <f t="shared" si="23"/>
        <v>0</v>
      </c>
      <c r="W78" s="32" t="s">
        <v>24</v>
      </c>
      <c r="X78" s="88" t="e">
        <f t="shared" si="27"/>
        <v>#DIV/0!</v>
      </c>
      <c r="Y78" s="89" t="e">
        <f t="shared" si="24"/>
        <v>#DIV/0!</v>
      </c>
      <c r="Z78" s="89" t="e">
        <f t="shared" si="24"/>
        <v>#DIV/0!</v>
      </c>
      <c r="AA78" s="89" t="e">
        <f t="shared" si="25"/>
        <v>#DIV/0!</v>
      </c>
      <c r="AB78" s="89" t="e">
        <f t="shared" si="25"/>
        <v>#DIV/0!</v>
      </c>
      <c r="AC78" s="89" t="e">
        <f t="shared" si="25"/>
        <v>#DIV/0!</v>
      </c>
      <c r="AD78" s="89" t="e">
        <f t="shared" si="25"/>
        <v>#DIV/0!</v>
      </c>
      <c r="AE78" s="89" t="e">
        <f t="shared" si="25"/>
        <v>#DIV/0!</v>
      </c>
      <c r="AF78" s="122" t="e">
        <f t="shared" si="25"/>
        <v>#DIV/0!</v>
      </c>
    </row>
    <row r="79" spans="1:32">
      <c r="A79" s="32" t="s">
        <v>25</v>
      </c>
      <c r="B79" s="19">
        <v>20.899695601711752</v>
      </c>
      <c r="C79" s="64">
        <v>14.68910738939231</v>
      </c>
      <c r="D79" s="64">
        <v>7.285949796487019</v>
      </c>
      <c r="E79" s="64">
        <v>7.0405158039133804</v>
      </c>
      <c r="F79" s="64">
        <v>8.1948066428557826</v>
      </c>
      <c r="G79" s="64">
        <v>8.7603971451925364</v>
      </c>
      <c r="H79" s="64">
        <v>8.4413587296945529</v>
      </c>
      <c r="I79" s="86">
        <v>8.7651047276386684</v>
      </c>
      <c r="J79" s="21">
        <v>84.076935836886008</v>
      </c>
      <c r="K79" s="49"/>
      <c r="L79" s="32" t="s">
        <v>25</v>
      </c>
      <c r="M79" s="87">
        <f t="shared" si="26"/>
        <v>0</v>
      </c>
      <c r="N79" s="64">
        <f t="shared" si="23"/>
        <v>0</v>
      </c>
      <c r="O79" s="64">
        <f t="shared" si="23"/>
        <v>0</v>
      </c>
      <c r="P79" s="64">
        <f t="shared" si="23"/>
        <v>0</v>
      </c>
      <c r="Q79" s="64">
        <f t="shared" si="23"/>
        <v>-1.2406788517517793</v>
      </c>
      <c r="R79" s="64">
        <f t="shared" si="23"/>
        <v>-3.2381117203766996</v>
      </c>
      <c r="S79" s="64">
        <f t="shared" si="23"/>
        <v>-2.7190491274236503</v>
      </c>
      <c r="T79" s="64">
        <f t="shared" si="23"/>
        <v>-2.5549917434838569</v>
      </c>
      <c r="U79" s="34">
        <f t="shared" si="23"/>
        <v>-9.7528314430360012</v>
      </c>
      <c r="W79" s="32" t="s">
        <v>25</v>
      </c>
      <c r="X79" s="88">
        <f t="shared" si="27"/>
        <v>0</v>
      </c>
      <c r="Y79" s="89">
        <f t="shared" si="24"/>
        <v>0</v>
      </c>
      <c r="Z79" s="89">
        <f t="shared" si="24"/>
        <v>0</v>
      </c>
      <c r="AA79" s="89">
        <f t="shared" si="25"/>
        <v>0</v>
      </c>
      <c r="AB79" s="89">
        <f t="shared" si="25"/>
        <v>-0.15139818495087992</v>
      </c>
      <c r="AC79" s="89">
        <f t="shared" si="25"/>
        <v>-0.36963069900931211</v>
      </c>
      <c r="AD79" s="89">
        <f t="shared" si="25"/>
        <v>-0.32211036333034004</v>
      </c>
      <c r="AE79" s="89">
        <f t="shared" si="25"/>
        <v>-0.29149586033208474</v>
      </c>
      <c r="AF79" s="122">
        <f t="shared" si="25"/>
        <v>-0.11599889251384046</v>
      </c>
    </row>
    <row r="80" spans="1:32">
      <c r="A80" s="22" t="s">
        <v>26</v>
      </c>
      <c r="B80" s="23">
        <v>4.4222471614820931</v>
      </c>
      <c r="C80" s="99">
        <v>4.5359292712175074</v>
      </c>
      <c r="D80" s="99">
        <v>4.3511995201191835</v>
      </c>
      <c r="E80" s="99">
        <v>3.8524684978112553</v>
      </c>
      <c r="F80" s="99">
        <v>6.8905583140933544</v>
      </c>
      <c r="G80" s="99">
        <v>7.0551187203197188</v>
      </c>
      <c r="H80" s="99">
        <v>6.3335664591945839</v>
      </c>
      <c r="I80" s="100">
        <v>6.3751222806438301</v>
      </c>
      <c r="J80" s="24">
        <v>43.816210224881523</v>
      </c>
      <c r="K80" s="49"/>
      <c r="L80" s="22" t="s">
        <v>26</v>
      </c>
      <c r="M80" s="94">
        <f t="shared" si="26"/>
        <v>0</v>
      </c>
      <c r="N80" s="99">
        <f t="shared" si="23"/>
        <v>0</v>
      </c>
      <c r="O80" s="99">
        <f t="shared" si="23"/>
        <v>0</v>
      </c>
      <c r="P80" s="99">
        <f t="shared" si="23"/>
        <v>0</v>
      </c>
      <c r="Q80" s="99">
        <f t="shared" si="23"/>
        <v>-3.5535600240933545</v>
      </c>
      <c r="R80" s="99">
        <f t="shared" si="23"/>
        <v>-4.3276976577197193</v>
      </c>
      <c r="S80" s="99">
        <f t="shared" si="23"/>
        <v>-3.606145396594584</v>
      </c>
      <c r="T80" s="99">
        <f t="shared" si="23"/>
        <v>-3.6477012180438297</v>
      </c>
      <c r="U80" s="35">
        <f t="shared" si="23"/>
        <v>-15.13510429645148</v>
      </c>
      <c r="W80" s="22" t="s">
        <v>26</v>
      </c>
      <c r="X80" s="95">
        <f t="shared" si="27"/>
        <v>0</v>
      </c>
      <c r="Y80" s="101">
        <f t="shared" si="24"/>
        <v>0</v>
      </c>
      <c r="Z80" s="101">
        <f t="shared" si="24"/>
        <v>0</v>
      </c>
      <c r="AA80" s="101">
        <f t="shared" si="25"/>
        <v>0</v>
      </c>
      <c r="AB80" s="101">
        <f t="shared" si="25"/>
        <v>-0.51571438221852195</v>
      </c>
      <c r="AC80" s="101">
        <f t="shared" si="25"/>
        <v>-0.61341244977995213</v>
      </c>
      <c r="AD80" s="101">
        <f t="shared" si="25"/>
        <v>-0.56937042025657758</v>
      </c>
      <c r="AE80" s="101">
        <f t="shared" si="25"/>
        <v>-0.57217745126536534</v>
      </c>
      <c r="AF80" s="123">
        <f t="shared" si="25"/>
        <v>-0.34542248676397036</v>
      </c>
    </row>
    <row r="81" spans="1:32">
      <c r="A81" s="36" t="s">
        <v>27</v>
      </c>
      <c r="B81" s="26">
        <v>82.371697287879414</v>
      </c>
      <c r="C81" s="26">
        <v>77.071070027980397</v>
      </c>
      <c r="D81" s="103">
        <v>65.597986157373484</v>
      </c>
      <c r="E81" s="103">
        <v>66.313458072811429</v>
      </c>
      <c r="F81" s="103">
        <v>66.14876631829442</v>
      </c>
      <c r="G81" s="103">
        <v>69.311821967603237</v>
      </c>
      <c r="H81" s="103">
        <v>69.370992401854366</v>
      </c>
      <c r="I81" s="103">
        <v>69.266120313481409</v>
      </c>
      <c r="J81" s="26">
        <v>565.4519125472782</v>
      </c>
      <c r="K81" s="49"/>
      <c r="L81" s="36" t="s">
        <v>27</v>
      </c>
      <c r="M81" s="124">
        <f t="shared" si="26"/>
        <v>0</v>
      </c>
      <c r="N81" s="125">
        <f t="shared" si="23"/>
        <v>0</v>
      </c>
      <c r="O81" s="37">
        <f t="shared" si="23"/>
        <v>0</v>
      </c>
      <c r="P81" s="126">
        <f t="shared" si="23"/>
        <v>0</v>
      </c>
      <c r="Q81" s="37">
        <f t="shared" si="23"/>
        <v>-6.2825741654660021</v>
      </c>
      <c r="R81" s="37">
        <f t="shared" si="23"/>
        <v>-8.2551846610908513</v>
      </c>
      <c r="S81" s="37">
        <f t="shared" si="23"/>
        <v>-7.4287535916177845</v>
      </c>
      <c r="T81" s="37">
        <f t="shared" si="23"/>
        <v>-4.5648992189931192</v>
      </c>
      <c r="U81" s="37">
        <f t="shared" si="23"/>
        <v>-26.531411637167821</v>
      </c>
      <c r="W81" s="36" t="s">
        <v>27</v>
      </c>
      <c r="X81" s="127">
        <f t="shared" si="27"/>
        <v>0</v>
      </c>
      <c r="Y81" s="128">
        <f t="shared" si="24"/>
        <v>0</v>
      </c>
      <c r="Z81" s="127">
        <f t="shared" si="24"/>
        <v>0</v>
      </c>
      <c r="AA81" s="129">
        <f t="shared" si="25"/>
        <v>0</v>
      </c>
      <c r="AB81" s="127">
        <f t="shared" si="25"/>
        <v>-9.4976437432491664E-2</v>
      </c>
      <c r="AC81" s="127">
        <f t="shared" si="25"/>
        <v>-0.11910211601347566</v>
      </c>
      <c r="AD81" s="127">
        <f t="shared" si="25"/>
        <v>-0.10708731898463089</v>
      </c>
      <c r="AE81" s="127">
        <f t="shared" si="25"/>
        <v>-6.5903780929746164E-2</v>
      </c>
      <c r="AF81" s="127">
        <f t="shared" si="25"/>
        <v>-4.6920721370713368E-2</v>
      </c>
    </row>
    <row r="82" spans="1:32">
      <c r="A82" s="32" t="s">
        <v>28</v>
      </c>
      <c r="B82" s="19">
        <v>17.545782462350953</v>
      </c>
      <c r="C82" s="64">
        <v>17.077002441409377</v>
      </c>
      <c r="D82" s="64">
        <v>19.673214199789967</v>
      </c>
      <c r="E82" s="64">
        <v>19.574313934442038</v>
      </c>
      <c r="F82" s="64">
        <v>24.831869395343055</v>
      </c>
      <c r="G82" s="64">
        <v>24.983565023383917</v>
      </c>
      <c r="H82" s="64">
        <v>24.980497352299512</v>
      </c>
      <c r="I82" s="86">
        <v>24.960573481279006</v>
      </c>
      <c r="J82" s="21">
        <v>173.62681829029782</v>
      </c>
      <c r="K82" s="49"/>
      <c r="L82" s="32" t="s">
        <v>28</v>
      </c>
      <c r="M82" s="130">
        <f t="shared" si="26"/>
        <v>0</v>
      </c>
      <c r="N82" s="79">
        <f t="shared" si="23"/>
        <v>0</v>
      </c>
      <c r="O82" s="79">
        <f t="shared" si="23"/>
        <v>0</v>
      </c>
      <c r="P82" s="79">
        <f t="shared" si="23"/>
        <v>0</v>
      </c>
      <c r="Q82" s="79">
        <f t="shared" si="23"/>
        <v>-10.414518745486992</v>
      </c>
      <c r="R82" s="79">
        <f t="shared" si="23"/>
        <v>1.0568697496083672</v>
      </c>
      <c r="S82" s="79">
        <f t="shared" si="23"/>
        <v>1.3570329671882249</v>
      </c>
      <c r="T82" s="79">
        <f t="shared" si="23"/>
        <v>1.166084424093242</v>
      </c>
      <c r="U82" s="39">
        <f t="shared" si="23"/>
        <v>-6.8345316045971742</v>
      </c>
      <c r="W82" s="32" t="s">
        <v>28</v>
      </c>
      <c r="X82" s="88">
        <f t="shared" si="27"/>
        <v>0</v>
      </c>
      <c r="Y82" s="83">
        <f t="shared" si="24"/>
        <v>0</v>
      </c>
      <c r="Z82" s="83">
        <f t="shared" si="24"/>
        <v>0</v>
      </c>
      <c r="AA82" s="83">
        <f t="shared" si="25"/>
        <v>0</v>
      </c>
      <c r="AB82" s="83">
        <f t="shared" si="25"/>
        <v>-0.41940131770506656</v>
      </c>
      <c r="AC82" s="83">
        <f t="shared" si="25"/>
        <v>4.230259967379222E-2</v>
      </c>
      <c r="AD82" s="83">
        <f t="shared" si="25"/>
        <v>5.4323696924445213E-2</v>
      </c>
      <c r="AE82" s="83">
        <f t="shared" si="25"/>
        <v>4.6717052593676651E-2</v>
      </c>
      <c r="AF82" s="122">
        <f t="shared" si="25"/>
        <v>-3.9363340709095307E-2</v>
      </c>
    </row>
    <row r="83" spans="1:32">
      <c r="A83" s="32" t="s">
        <v>29</v>
      </c>
      <c r="B83" s="19">
        <v>2.0721461344316174</v>
      </c>
      <c r="C83" s="64">
        <v>1.9167240661483771</v>
      </c>
      <c r="D83" s="64">
        <v>2.7169502810572763</v>
      </c>
      <c r="E83" s="64">
        <v>3.3590217409173975</v>
      </c>
      <c r="F83" s="64">
        <v>3.4731888666781319</v>
      </c>
      <c r="G83" s="64">
        <v>4.2332911632485226</v>
      </c>
      <c r="H83" s="64">
        <v>4.7305387594148218</v>
      </c>
      <c r="I83" s="86">
        <v>4.8682063215907165</v>
      </c>
      <c r="J83" s="21">
        <v>27.370067333486858</v>
      </c>
      <c r="K83" s="49"/>
      <c r="L83" s="32" t="s">
        <v>29</v>
      </c>
      <c r="M83" s="130">
        <f t="shared" si="26"/>
        <v>0</v>
      </c>
      <c r="N83" s="64">
        <f t="shared" si="23"/>
        <v>0</v>
      </c>
      <c r="O83" s="64">
        <f t="shared" si="23"/>
        <v>0</v>
      </c>
      <c r="P83" s="64">
        <f t="shared" si="23"/>
        <v>0</v>
      </c>
      <c r="Q83" s="64">
        <f t="shared" si="23"/>
        <v>0.13959029086086616</v>
      </c>
      <c r="R83" s="64">
        <f t="shared" si="23"/>
        <v>-0.86898618717635401</v>
      </c>
      <c r="S83" s="64">
        <f t="shared" si="23"/>
        <v>-0.75455613083110817</v>
      </c>
      <c r="T83" s="64">
        <f t="shared" si="23"/>
        <v>-0.83620917056727606</v>
      </c>
      <c r="U83" s="39">
        <f t="shared" si="23"/>
        <v>-2.320161197713869</v>
      </c>
      <c r="W83" s="32" t="s">
        <v>29</v>
      </c>
      <c r="X83" s="88">
        <f t="shared" si="27"/>
        <v>0</v>
      </c>
      <c r="Y83" s="89">
        <f t="shared" si="24"/>
        <v>0</v>
      </c>
      <c r="Z83" s="89">
        <f t="shared" si="24"/>
        <v>0</v>
      </c>
      <c r="AA83" s="89">
        <f t="shared" si="25"/>
        <v>0</v>
      </c>
      <c r="AB83" s="89">
        <f t="shared" si="25"/>
        <v>4.0190814902149201E-2</v>
      </c>
      <c r="AC83" s="89">
        <f t="shared" si="25"/>
        <v>-0.20527437250725641</v>
      </c>
      <c r="AD83" s="89">
        <f t="shared" si="25"/>
        <v>-0.15950744073904352</v>
      </c>
      <c r="AE83" s="89">
        <f t="shared" si="25"/>
        <v>-0.17176945990531467</v>
      </c>
      <c r="AF83" s="122">
        <f t="shared" si="25"/>
        <v>-8.4770021551068206E-2</v>
      </c>
    </row>
    <row r="84" spans="1:32">
      <c r="A84" s="40" t="s">
        <v>30</v>
      </c>
      <c r="B84" s="19">
        <v>19.617928596782566</v>
      </c>
      <c r="C84" s="126">
        <v>18.993726507557753</v>
      </c>
      <c r="D84" s="126">
        <v>22.390164480847247</v>
      </c>
      <c r="E84" s="126">
        <v>22.933335675359434</v>
      </c>
      <c r="F84" s="126">
        <v>28.305058262021188</v>
      </c>
      <c r="G84" s="126">
        <v>29.216856186632437</v>
      </c>
      <c r="H84" s="126">
        <v>29.711036111714336</v>
      </c>
      <c r="I84" s="126">
        <v>29.828779802869722</v>
      </c>
      <c r="J84" s="33">
        <v>200.99688562378469</v>
      </c>
      <c r="K84" s="49"/>
      <c r="L84" s="40" t="s">
        <v>30</v>
      </c>
      <c r="M84" s="87">
        <f t="shared" si="26"/>
        <v>0</v>
      </c>
      <c r="N84" s="126">
        <f t="shared" si="23"/>
        <v>0</v>
      </c>
      <c r="O84" s="126">
        <f t="shared" si="23"/>
        <v>0</v>
      </c>
      <c r="P84" s="126">
        <f t="shared" si="23"/>
        <v>0</v>
      </c>
      <c r="Q84" s="126">
        <f t="shared" si="23"/>
        <v>-10.274928454626128</v>
      </c>
      <c r="R84" s="126">
        <f t="shared" si="23"/>
        <v>0.18788356243201676</v>
      </c>
      <c r="S84" s="126">
        <f t="shared" si="23"/>
        <v>0.60247683635711624</v>
      </c>
      <c r="T84" s="126">
        <f t="shared" si="23"/>
        <v>0.32987525352596592</v>
      </c>
      <c r="U84" s="33">
        <f t="shared" si="23"/>
        <v>-9.1546928023110468</v>
      </c>
      <c r="W84" s="40" t="s">
        <v>30</v>
      </c>
      <c r="X84" s="88">
        <f t="shared" si="27"/>
        <v>0</v>
      </c>
      <c r="Y84" s="129">
        <f t="shared" si="24"/>
        <v>0</v>
      </c>
      <c r="Z84" s="129">
        <f t="shared" si="24"/>
        <v>0</v>
      </c>
      <c r="AA84" s="129">
        <f t="shared" si="25"/>
        <v>0</v>
      </c>
      <c r="AB84" s="129">
        <f t="shared" si="25"/>
        <v>-0.36300679403344294</v>
      </c>
      <c r="AC84" s="129">
        <f t="shared" si="25"/>
        <v>6.4306563728776184E-3</v>
      </c>
      <c r="AD84" s="129">
        <f t="shared" si="25"/>
        <v>2.0277880383968647E-2</v>
      </c>
      <c r="AE84" s="129">
        <f t="shared" si="25"/>
        <v>1.1058959022327484E-2</v>
      </c>
      <c r="AF84" s="106">
        <f t="shared" si="25"/>
        <v>-4.554644105006838E-2</v>
      </c>
    </row>
    <row r="85" spans="1:32">
      <c r="A85" s="41" t="s">
        <v>31</v>
      </c>
      <c r="B85" s="37">
        <v>101.98962588466199</v>
      </c>
      <c r="C85" s="37">
        <v>96.06479653553815</v>
      </c>
      <c r="D85" s="37">
        <v>87.988150638220731</v>
      </c>
      <c r="E85" s="37">
        <v>89.246793748170859</v>
      </c>
      <c r="F85" s="37">
        <v>94.453824580315597</v>
      </c>
      <c r="G85" s="37">
        <v>98.528678154235664</v>
      </c>
      <c r="H85" s="37">
        <v>99.082028513568702</v>
      </c>
      <c r="I85" s="37">
        <v>99.094900116351113</v>
      </c>
      <c r="J85" s="37">
        <v>766.44879817106278</v>
      </c>
      <c r="K85" s="49"/>
      <c r="L85" s="41" t="s">
        <v>31</v>
      </c>
      <c r="M85" s="124">
        <f t="shared" si="26"/>
        <v>0</v>
      </c>
      <c r="N85" s="126">
        <f t="shared" si="23"/>
        <v>0</v>
      </c>
      <c r="O85" s="37">
        <f t="shared" si="23"/>
        <v>0</v>
      </c>
      <c r="P85" s="37">
        <f t="shared" si="23"/>
        <v>0</v>
      </c>
      <c r="Q85" s="37">
        <f t="shared" si="23"/>
        <v>-16.557502620092123</v>
      </c>
      <c r="R85" s="37">
        <f t="shared" si="23"/>
        <v>-8.0673010986588309</v>
      </c>
      <c r="S85" s="37">
        <f t="shared" si="23"/>
        <v>-6.8262767552606647</v>
      </c>
      <c r="T85" s="37">
        <f t="shared" si="23"/>
        <v>-4.2350239654671356</v>
      </c>
      <c r="U85" s="37">
        <f t="shared" si="23"/>
        <v>-35.68610443947864</v>
      </c>
      <c r="W85" s="41" t="s">
        <v>31</v>
      </c>
      <c r="X85" s="127">
        <f t="shared" si="27"/>
        <v>0</v>
      </c>
      <c r="Y85" s="129">
        <f t="shared" si="24"/>
        <v>0</v>
      </c>
      <c r="Z85" s="127">
        <f t="shared" si="24"/>
        <v>0</v>
      </c>
      <c r="AA85" s="127">
        <f t="shared" si="25"/>
        <v>0</v>
      </c>
      <c r="AB85" s="127">
        <f t="shared" si="25"/>
        <v>-0.17529732325463449</v>
      </c>
      <c r="AC85" s="127">
        <f t="shared" si="25"/>
        <v>-8.1877695405903755E-2</v>
      </c>
      <c r="AD85" s="127">
        <f t="shared" si="25"/>
        <v>-6.8895205898270903E-2</v>
      </c>
      <c r="AE85" s="127">
        <f t="shared" si="25"/>
        <v>-4.2737052668650272E-2</v>
      </c>
      <c r="AF85" s="127">
        <f t="shared" si="25"/>
        <v>-4.6560324087707557E-2</v>
      </c>
    </row>
    <row r="86" spans="1:32">
      <c r="A86" s="131" t="s">
        <v>52</v>
      </c>
      <c r="B86" s="19">
        <v>0</v>
      </c>
      <c r="C86" s="19">
        <v>0</v>
      </c>
      <c r="D86" s="19">
        <v>4.2847945344256733E-2</v>
      </c>
      <c r="E86" s="19">
        <v>3.2378635441220868E-2</v>
      </c>
      <c r="F86" s="19">
        <v>0.30216116434509693</v>
      </c>
      <c r="G86" s="19">
        <v>0.29336035373310376</v>
      </c>
      <c r="H86" s="19">
        <v>0.2848158774107804</v>
      </c>
      <c r="I86" s="19">
        <v>0.27652026933085472</v>
      </c>
      <c r="J86" s="19">
        <v>1.2320842456053134</v>
      </c>
      <c r="K86" s="132"/>
      <c r="L86" s="131" t="s">
        <v>52</v>
      </c>
      <c r="M86" s="133"/>
      <c r="N86" s="134"/>
      <c r="O86" s="43"/>
      <c r="P86" s="43"/>
      <c r="Q86" s="43"/>
      <c r="R86" s="43"/>
      <c r="S86" s="43"/>
      <c r="T86" s="43"/>
      <c r="U86" s="43"/>
      <c r="V86" s="135"/>
      <c r="W86" s="131" t="s">
        <v>52</v>
      </c>
      <c r="X86" s="136" t="e">
        <f t="shared" si="27"/>
        <v>#DIV/0!</v>
      </c>
      <c r="Y86" s="137" t="e">
        <f t="shared" si="27"/>
        <v>#DIV/0!</v>
      </c>
      <c r="Z86" s="137">
        <f t="shared" si="27"/>
        <v>0</v>
      </c>
      <c r="AA86" s="137">
        <f t="shared" si="27"/>
        <v>0</v>
      </c>
      <c r="AB86" s="137">
        <f t="shared" si="27"/>
        <v>0</v>
      </c>
      <c r="AC86" s="137">
        <f t="shared" si="27"/>
        <v>0</v>
      </c>
      <c r="AD86" s="137">
        <f t="shared" si="27"/>
        <v>0</v>
      </c>
      <c r="AE86" s="137">
        <f t="shared" si="27"/>
        <v>0</v>
      </c>
      <c r="AF86" s="138">
        <f t="shared" si="27"/>
        <v>0</v>
      </c>
    </row>
    <row r="87" spans="1:32">
      <c r="A87" s="44" t="s">
        <v>33</v>
      </c>
      <c r="B87" s="72">
        <v>236.41671619918282</v>
      </c>
      <c r="C87" s="72">
        <v>225.37678977343197</v>
      </c>
      <c r="D87" s="72">
        <v>221.35190550065226</v>
      </c>
      <c r="E87" s="72">
        <v>219.29254597106038</v>
      </c>
      <c r="F87" s="72">
        <v>215.22537437777154</v>
      </c>
      <c r="G87" s="72">
        <v>222.56988223937819</v>
      </c>
      <c r="H87" s="72">
        <v>224.89859404092221</v>
      </c>
      <c r="I87" s="72">
        <v>226.4334922050131</v>
      </c>
      <c r="J87" s="72">
        <v>1791.5653003074124</v>
      </c>
      <c r="K87" s="49"/>
      <c r="L87" s="44" t="s">
        <v>33</v>
      </c>
      <c r="M87" s="139">
        <f t="shared" ref="M87:U87" si="28">B37-B87</f>
        <v>0</v>
      </c>
      <c r="N87" s="45">
        <f t="shared" si="28"/>
        <v>0</v>
      </c>
      <c r="O87" s="45">
        <f t="shared" si="28"/>
        <v>0</v>
      </c>
      <c r="P87" s="45">
        <f t="shared" si="28"/>
        <v>0</v>
      </c>
      <c r="Q87" s="45">
        <f t="shared" si="28"/>
        <v>-20.328334956755072</v>
      </c>
      <c r="R87" s="45">
        <f t="shared" si="28"/>
        <v>-10.350151336437335</v>
      </c>
      <c r="S87" s="45">
        <f t="shared" si="28"/>
        <v>-8.6138800732051095</v>
      </c>
      <c r="T87" s="45">
        <f t="shared" si="28"/>
        <v>-6.3674798867634195</v>
      </c>
      <c r="U87" s="45">
        <f t="shared" si="28"/>
        <v>-45.659846253160822</v>
      </c>
      <c r="W87" s="44" t="s">
        <v>33</v>
      </c>
      <c r="X87" s="140">
        <f t="shared" si="27"/>
        <v>0</v>
      </c>
      <c r="Y87" s="140">
        <f t="shared" si="24"/>
        <v>0</v>
      </c>
      <c r="Z87" s="140">
        <f t="shared" si="24"/>
        <v>0</v>
      </c>
      <c r="AA87" s="140">
        <f t="shared" si="25"/>
        <v>0</v>
      </c>
      <c r="AB87" s="140">
        <f t="shared" si="25"/>
        <v>-9.445138620632168E-2</v>
      </c>
      <c r="AC87" s="140">
        <f t="shared" si="25"/>
        <v>-4.6502928573712181E-2</v>
      </c>
      <c r="AD87" s="140">
        <f t="shared" si="25"/>
        <v>-3.8301173513062253E-2</v>
      </c>
      <c r="AE87" s="140">
        <f t="shared" si="25"/>
        <v>-2.8120751151946625E-2</v>
      </c>
      <c r="AF87" s="140">
        <f t="shared" si="25"/>
        <v>-2.5486007261541686E-2</v>
      </c>
    </row>
    <row r="88" spans="1:32" s="71" customFormat="1">
      <c r="A88" s="46" t="s">
        <v>34</v>
      </c>
      <c r="B88" s="19">
        <v>0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86">
        <v>0</v>
      </c>
      <c r="J88" s="21">
        <v>0</v>
      </c>
      <c r="K88" s="70"/>
      <c r="L88" s="46" t="s">
        <v>34</v>
      </c>
      <c r="M88" s="141"/>
      <c r="N88" s="142"/>
      <c r="O88" s="143"/>
      <c r="P88" s="142"/>
      <c r="Q88" s="142"/>
      <c r="R88" s="142"/>
      <c r="S88" s="142"/>
      <c r="T88" s="142"/>
      <c r="U88" s="48"/>
      <c r="W88" s="46" t="s">
        <v>34</v>
      </c>
      <c r="X88" s="144" t="e">
        <f t="shared" si="27"/>
        <v>#DIV/0!</v>
      </c>
      <c r="Y88" s="144" t="e">
        <f t="shared" si="24"/>
        <v>#DIV/0!</v>
      </c>
      <c r="Z88" s="145" t="e">
        <f t="shared" si="24"/>
        <v>#DIV/0!</v>
      </c>
      <c r="AA88" s="144" t="e">
        <f t="shared" si="25"/>
        <v>#DIV/0!</v>
      </c>
      <c r="AB88" s="144" t="e">
        <f t="shared" si="25"/>
        <v>#DIV/0!</v>
      </c>
      <c r="AC88" s="144" t="e">
        <f t="shared" si="25"/>
        <v>#DIV/0!</v>
      </c>
      <c r="AD88" s="144" t="e">
        <f t="shared" si="25"/>
        <v>#DIV/0!</v>
      </c>
      <c r="AE88" s="144" t="e">
        <f t="shared" si="25"/>
        <v>#DIV/0!</v>
      </c>
      <c r="AF88" s="146" t="e">
        <f t="shared" si="25"/>
        <v>#DIV/0!</v>
      </c>
    </row>
    <row r="89" spans="1:32">
      <c r="A89" s="147" t="s">
        <v>35</v>
      </c>
      <c r="B89" s="16">
        <v>43.142517932014037</v>
      </c>
      <c r="C89" s="79">
        <v>43.758705744838004</v>
      </c>
      <c r="D89" s="79">
        <v>43.307589456440361</v>
      </c>
      <c r="E89" s="79">
        <v>59.181520033501066</v>
      </c>
      <c r="F89" s="79">
        <v>48.872181014653698</v>
      </c>
      <c r="G89" s="79">
        <v>59.585733762735295</v>
      </c>
      <c r="H89" s="79">
        <v>59.578584090530988</v>
      </c>
      <c r="I89" s="80">
        <v>53.502599609289049</v>
      </c>
      <c r="J89" s="21">
        <v>410.92943164400253</v>
      </c>
      <c r="K89" s="49"/>
      <c r="L89" s="32" t="s">
        <v>35</v>
      </c>
      <c r="M89" s="121">
        <f t="shared" ref="M89:U94" si="29">B39-B89</f>
        <v>0</v>
      </c>
      <c r="N89" s="64">
        <f t="shared" si="29"/>
        <v>0</v>
      </c>
      <c r="O89" s="64">
        <f t="shared" si="29"/>
        <v>0</v>
      </c>
      <c r="P89" s="64">
        <f t="shared" si="29"/>
        <v>0</v>
      </c>
      <c r="Q89" s="64">
        <f t="shared" si="29"/>
        <v>12.843119526713345</v>
      </c>
      <c r="R89" s="64">
        <f t="shared" si="29"/>
        <v>-14.986168368084861</v>
      </c>
      <c r="S89" s="64">
        <f t="shared" si="29"/>
        <v>-0.6183518049759229</v>
      </c>
      <c r="T89" s="148">
        <f t="shared" si="29"/>
        <v>-1.7834516787750303</v>
      </c>
      <c r="U89" s="50">
        <f t="shared" si="29"/>
        <v>-4.5448523251224628</v>
      </c>
      <c r="W89" s="32" t="s">
        <v>35</v>
      </c>
      <c r="X89" s="106">
        <f t="shared" si="27"/>
        <v>0</v>
      </c>
      <c r="Y89" s="89">
        <f t="shared" si="24"/>
        <v>0</v>
      </c>
      <c r="Z89" s="89">
        <f t="shared" si="24"/>
        <v>0</v>
      </c>
      <c r="AA89" s="89">
        <f t="shared" si="25"/>
        <v>0</v>
      </c>
      <c r="AB89" s="89">
        <f t="shared" si="25"/>
        <v>0.26278998113185292</v>
      </c>
      <c r="AC89" s="89">
        <f t="shared" si="25"/>
        <v>-0.25150598006828873</v>
      </c>
      <c r="AD89" s="89">
        <f t="shared" si="25"/>
        <v>-1.0378759656931819E-2</v>
      </c>
      <c r="AE89" s="149">
        <f t="shared" si="25"/>
        <v>-3.3333925674620672E-2</v>
      </c>
      <c r="AF89" s="122">
        <f t="shared" si="25"/>
        <v>-1.1059933835695106E-2</v>
      </c>
    </row>
    <row r="90" spans="1:32">
      <c r="A90" s="147" t="s">
        <v>36</v>
      </c>
      <c r="B90" s="19">
        <v>22.671987745199864</v>
      </c>
      <c r="C90" s="64">
        <v>24.557405860664417</v>
      </c>
      <c r="D90" s="64">
        <v>24.738722806964518</v>
      </c>
      <c r="E90" s="64">
        <v>33.721707089956531</v>
      </c>
      <c r="F90" s="64">
        <v>42.159846765733036</v>
      </c>
      <c r="G90" s="64">
        <v>36.480973409194796</v>
      </c>
      <c r="H90" s="64">
        <v>41.660434696353462</v>
      </c>
      <c r="I90" s="86">
        <v>40.020836628724219</v>
      </c>
      <c r="J90" s="21">
        <v>266.01191500279083</v>
      </c>
      <c r="K90" s="49"/>
      <c r="L90" s="32" t="s">
        <v>36</v>
      </c>
      <c r="M90" s="87">
        <f t="shared" si="29"/>
        <v>0</v>
      </c>
      <c r="N90" s="64">
        <f t="shared" si="29"/>
        <v>0</v>
      </c>
      <c r="O90" s="64">
        <f t="shared" si="29"/>
        <v>0</v>
      </c>
      <c r="P90" s="64">
        <f t="shared" si="29"/>
        <v>0</v>
      </c>
      <c r="Q90" s="64">
        <f t="shared" si="29"/>
        <v>-0.637543775733036</v>
      </c>
      <c r="R90" s="64">
        <f t="shared" si="29"/>
        <v>-4.0500125229175268</v>
      </c>
      <c r="S90" s="64">
        <f t="shared" si="29"/>
        <v>-18.345794913018743</v>
      </c>
      <c r="T90" s="148">
        <f t="shared" si="29"/>
        <v>-15.812243856479292</v>
      </c>
      <c r="U90" s="50">
        <f t="shared" si="29"/>
        <v>-38.845595068148612</v>
      </c>
      <c r="W90" s="32" t="s">
        <v>36</v>
      </c>
      <c r="X90" s="88">
        <f t="shared" si="27"/>
        <v>0</v>
      </c>
      <c r="Y90" s="89">
        <f t="shared" si="24"/>
        <v>0</v>
      </c>
      <c r="Z90" s="89">
        <f t="shared" si="24"/>
        <v>0</v>
      </c>
      <c r="AA90" s="89">
        <f t="shared" si="25"/>
        <v>0</v>
      </c>
      <c r="AB90" s="89">
        <f t="shared" si="25"/>
        <v>-1.5122061028248876E-2</v>
      </c>
      <c r="AC90" s="89">
        <f t="shared" si="25"/>
        <v>-0.11101711781343934</v>
      </c>
      <c r="AD90" s="89">
        <f t="shared" si="25"/>
        <v>-0.4403649421023576</v>
      </c>
      <c r="AE90" s="149">
        <f t="shared" si="25"/>
        <v>-0.39510028246461854</v>
      </c>
      <c r="AF90" s="122">
        <f t="shared" si="25"/>
        <v>-0.14602953054843829</v>
      </c>
    </row>
    <row r="91" spans="1:32">
      <c r="A91" s="147" t="s">
        <v>37</v>
      </c>
      <c r="B91" s="19">
        <v>9.7308460450902476</v>
      </c>
      <c r="C91" s="64">
        <v>7.2407061190243649</v>
      </c>
      <c r="D91" s="64">
        <v>5.2252063793586032</v>
      </c>
      <c r="E91" s="64">
        <v>5.138533087743629</v>
      </c>
      <c r="F91" s="64">
        <v>5.4458809838429127</v>
      </c>
      <c r="G91" s="64">
        <v>5.3432088529054269</v>
      </c>
      <c r="H91" s="64">
        <v>5.0139313815184208</v>
      </c>
      <c r="I91" s="86">
        <v>4.9314462933592278</v>
      </c>
      <c r="J91" s="21">
        <v>48.069759142842827</v>
      </c>
      <c r="K91" s="49"/>
      <c r="L91" s="32" t="s">
        <v>37</v>
      </c>
      <c r="M91" s="87">
        <f t="shared" si="29"/>
        <v>0</v>
      </c>
      <c r="N91" s="64">
        <f t="shared" si="29"/>
        <v>0</v>
      </c>
      <c r="O91" s="64">
        <f t="shared" si="29"/>
        <v>0</v>
      </c>
      <c r="P91" s="64">
        <f t="shared" si="29"/>
        <v>0</v>
      </c>
      <c r="Q91" s="64">
        <f t="shared" si="29"/>
        <v>0.41052669053345969</v>
      </c>
      <c r="R91" s="64">
        <f t="shared" si="29"/>
        <v>1.9434070876770955</v>
      </c>
      <c r="S91" s="64">
        <f t="shared" si="29"/>
        <v>2.2726845590641016</v>
      </c>
      <c r="T91" s="148">
        <f t="shared" si="29"/>
        <v>2.3551696472232937</v>
      </c>
      <c r="U91" s="50">
        <f t="shared" si="29"/>
        <v>6.9817879844979558</v>
      </c>
      <c r="W91" s="32" t="s">
        <v>37</v>
      </c>
      <c r="X91" s="88">
        <f t="shared" si="27"/>
        <v>0</v>
      </c>
      <c r="Y91" s="89">
        <f t="shared" si="24"/>
        <v>0</v>
      </c>
      <c r="Z91" s="89">
        <f t="shared" si="24"/>
        <v>0</v>
      </c>
      <c r="AA91" s="89">
        <f t="shared" si="25"/>
        <v>0</v>
      </c>
      <c r="AB91" s="89">
        <f t="shared" si="25"/>
        <v>7.5382971414804864E-2</v>
      </c>
      <c r="AC91" s="89">
        <f t="shared" si="25"/>
        <v>0.36371535180032261</v>
      </c>
      <c r="AD91" s="89">
        <f t="shared" si="25"/>
        <v>0.45327396530421621</v>
      </c>
      <c r="AE91" s="149">
        <f t="shared" si="25"/>
        <v>0.47758193177421532</v>
      </c>
      <c r="AF91" s="122">
        <f t="shared" si="25"/>
        <v>0.14524283268720067</v>
      </c>
    </row>
    <row r="92" spans="1:32">
      <c r="A92" s="150" t="s">
        <v>38</v>
      </c>
      <c r="B92" s="19">
        <v>4.9533270721799623</v>
      </c>
      <c r="C92" s="112">
        <v>5.033911867650235</v>
      </c>
      <c r="D92" s="112">
        <v>7.0698463850581028</v>
      </c>
      <c r="E92" s="112">
        <v>6.9573598623101081</v>
      </c>
      <c r="F92" s="112">
        <v>7.1464918398245985</v>
      </c>
      <c r="G92" s="112">
        <v>7.2158752557452264</v>
      </c>
      <c r="H92" s="112">
        <v>7.2859322970631419</v>
      </c>
      <c r="I92" s="151">
        <v>7.3566695038307435</v>
      </c>
      <c r="J92" s="21">
        <v>53.01941408366212</v>
      </c>
      <c r="K92" s="49"/>
      <c r="L92" s="51" t="s">
        <v>38</v>
      </c>
      <c r="M92" s="87">
        <f t="shared" si="29"/>
        <v>0</v>
      </c>
      <c r="N92" s="112">
        <f t="shared" si="29"/>
        <v>0</v>
      </c>
      <c r="O92" s="112">
        <f t="shared" si="29"/>
        <v>0</v>
      </c>
      <c r="P92" s="112">
        <f t="shared" si="29"/>
        <v>0</v>
      </c>
      <c r="Q92" s="112">
        <f t="shared" si="29"/>
        <v>-0.2333998998245983</v>
      </c>
      <c r="R92" s="112">
        <f t="shared" si="29"/>
        <v>-0.27761423147338338</v>
      </c>
      <c r="S92" s="112">
        <f t="shared" si="29"/>
        <v>-0.34767127279129895</v>
      </c>
      <c r="T92" s="152">
        <f t="shared" si="29"/>
        <v>-0.41840847955890048</v>
      </c>
      <c r="U92" s="52">
        <f t="shared" si="29"/>
        <v>-1.2770938836481776</v>
      </c>
      <c r="W92" s="51" t="s">
        <v>38</v>
      </c>
      <c r="X92" s="88">
        <f t="shared" si="27"/>
        <v>0</v>
      </c>
      <c r="Y92" s="114">
        <f t="shared" si="24"/>
        <v>0</v>
      </c>
      <c r="Z92" s="114">
        <f t="shared" si="24"/>
        <v>0</v>
      </c>
      <c r="AA92" s="114">
        <f t="shared" si="25"/>
        <v>0</v>
      </c>
      <c r="AB92" s="114">
        <f t="shared" si="25"/>
        <v>-3.2659367009131968E-2</v>
      </c>
      <c r="AC92" s="114">
        <f t="shared" si="25"/>
        <v>-3.8472703814045148E-2</v>
      </c>
      <c r="AD92" s="114">
        <f t="shared" si="25"/>
        <v>-4.7718158585064042E-2</v>
      </c>
      <c r="AE92" s="153">
        <f t="shared" si="25"/>
        <v>-5.6874714752515119E-2</v>
      </c>
      <c r="AF92" s="154">
        <f t="shared" si="25"/>
        <v>-2.4087287755254781E-2</v>
      </c>
    </row>
    <row r="93" spans="1:32">
      <c r="A93" s="53" t="s">
        <v>39</v>
      </c>
      <c r="B93" s="54">
        <v>80.498678794484121</v>
      </c>
      <c r="C93" s="54">
        <v>80.590729592177027</v>
      </c>
      <c r="D93" s="155">
        <v>80.341365027821581</v>
      </c>
      <c r="E93" s="54">
        <v>104.99912007351134</v>
      </c>
      <c r="F93" s="54">
        <v>103.62440060405426</v>
      </c>
      <c r="G93" s="54">
        <v>108.62579128058074</v>
      </c>
      <c r="H93" s="54">
        <v>113.53888246546602</v>
      </c>
      <c r="I93" s="54">
        <v>105.81155203520325</v>
      </c>
      <c r="J93" s="54">
        <v>778.0305198732982</v>
      </c>
      <c r="K93" s="49"/>
      <c r="L93" s="53" t="s">
        <v>39</v>
      </c>
      <c r="M93" s="156">
        <f t="shared" si="29"/>
        <v>0</v>
      </c>
      <c r="N93" s="55">
        <f t="shared" si="29"/>
        <v>0</v>
      </c>
      <c r="O93" s="155">
        <f t="shared" si="29"/>
        <v>0</v>
      </c>
      <c r="P93" s="54">
        <f t="shared" si="29"/>
        <v>0</v>
      </c>
      <c r="Q93" s="54">
        <f t="shared" si="29"/>
        <v>12.382702541689156</v>
      </c>
      <c r="R93" s="54">
        <f t="shared" si="29"/>
        <v>-17.37038803479868</v>
      </c>
      <c r="S93" s="54">
        <f t="shared" si="29"/>
        <v>-17.039133431721879</v>
      </c>
      <c r="T93" s="54">
        <f t="shared" si="29"/>
        <v>-15.65893436758995</v>
      </c>
      <c r="U93" s="55">
        <f t="shared" si="29"/>
        <v>-37.685753292421168</v>
      </c>
      <c r="W93" s="53" t="s">
        <v>39</v>
      </c>
      <c r="X93" s="146">
        <f t="shared" si="27"/>
        <v>0</v>
      </c>
      <c r="Y93" s="157">
        <f t="shared" si="24"/>
        <v>0</v>
      </c>
      <c r="Z93" s="158">
        <f t="shared" si="24"/>
        <v>0</v>
      </c>
      <c r="AA93" s="159">
        <f t="shared" si="25"/>
        <v>0</v>
      </c>
      <c r="AB93" s="159">
        <f t="shared" si="25"/>
        <v>0.11949601126285972</v>
      </c>
      <c r="AC93" s="159">
        <f t="shared" si="25"/>
        <v>-0.15991034753368025</v>
      </c>
      <c r="AD93" s="159">
        <f t="shared" si="25"/>
        <v>-0.15007311206277288</v>
      </c>
      <c r="AE93" s="159">
        <f t="shared" si="25"/>
        <v>-0.14798889219940994</v>
      </c>
      <c r="AF93" s="157">
        <f t="shared" si="25"/>
        <v>-4.8437371452418436E-2</v>
      </c>
    </row>
    <row r="94" spans="1:32" ht="25.2">
      <c r="A94" s="53" t="s">
        <v>40</v>
      </c>
      <c r="B94" s="48">
        <v>316.91539499366695</v>
      </c>
      <c r="C94" s="48">
        <v>305.96751936560895</v>
      </c>
      <c r="D94" s="48">
        <v>301.69327052847382</v>
      </c>
      <c r="E94" s="48">
        <v>324.29166604457168</v>
      </c>
      <c r="F94" s="48">
        <v>318.84977498182582</v>
      </c>
      <c r="G94" s="48">
        <v>331.19567351995897</v>
      </c>
      <c r="H94" s="48">
        <v>338.43747650638824</v>
      </c>
      <c r="I94" s="48">
        <v>332.24504424021632</v>
      </c>
      <c r="J94" s="48">
        <v>2569.5958201807107</v>
      </c>
      <c r="K94" s="49"/>
      <c r="L94" s="53" t="s">
        <v>40</v>
      </c>
      <c r="M94" s="156">
        <f t="shared" si="29"/>
        <v>0</v>
      </c>
      <c r="N94" s="48">
        <f t="shared" si="29"/>
        <v>0</v>
      </c>
      <c r="O94" s="48">
        <f t="shared" si="29"/>
        <v>0</v>
      </c>
      <c r="P94" s="48">
        <f t="shared" si="29"/>
        <v>0</v>
      </c>
      <c r="Q94" s="48">
        <f t="shared" si="29"/>
        <v>-7.9456324150659157</v>
      </c>
      <c r="R94" s="48">
        <f t="shared" si="29"/>
        <v>-27.720539371236043</v>
      </c>
      <c r="S94" s="48">
        <f t="shared" si="29"/>
        <v>-25.653013504927003</v>
      </c>
      <c r="T94" s="48">
        <f t="shared" si="29"/>
        <v>-22.026414254353313</v>
      </c>
      <c r="U94" s="48">
        <f t="shared" si="29"/>
        <v>-83.34559954558199</v>
      </c>
      <c r="W94" s="53" t="s">
        <v>40</v>
      </c>
      <c r="X94" s="146">
        <f t="shared" si="27"/>
        <v>0</v>
      </c>
      <c r="Y94" s="146">
        <f t="shared" si="24"/>
        <v>0</v>
      </c>
      <c r="Z94" s="146">
        <f t="shared" si="24"/>
        <v>0</v>
      </c>
      <c r="AA94" s="146">
        <f t="shared" si="25"/>
        <v>0</v>
      </c>
      <c r="AB94" s="146">
        <f t="shared" si="25"/>
        <v>-2.4919673898213698E-2</v>
      </c>
      <c r="AC94" s="146">
        <f t="shared" si="25"/>
        <v>-8.3698374065763609E-2</v>
      </c>
      <c r="AD94" s="146">
        <f t="shared" si="25"/>
        <v>-7.5798383115655885E-2</v>
      </c>
      <c r="AE94" s="146">
        <f t="shared" si="25"/>
        <v>-6.6295689390111739E-2</v>
      </c>
      <c r="AF94" s="146">
        <f t="shared" si="25"/>
        <v>-3.243529542312245E-2</v>
      </c>
    </row>
    <row r="95" spans="1:32">
      <c r="B95" s="56"/>
      <c r="C95" s="56"/>
      <c r="D95" s="56"/>
      <c r="E95" s="56"/>
      <c r="F95" s="56"/>
      <c r="G95" s="56"/>
      <c r="H95" s="56"/>
      <c r="I95" s="56"/>
      <c r="J95" s="56"/>
      <c r="K95" s="49"/>
      <c r="M95" s="56"/>
      <c r="N95" s="49"/>
      <c r="O95" s="73"/>
      <c r="P95" s="49"/>
      <c r="Q95" s="49"/>
      <c r="R95" s="49"/>
      <c r="S95" s="49"/>
      <c r="T95" s="49"/>
      <c r="U95" s="49"/>
      <c r="X95" s="56"/>
      <c r="Y95" s="49"/>
      <c r="Z95" s="73"/>
      <c r="AA95" s="49"/>
      <c r="AB95" s="49"/>
      <c r="AC95" s="49"/>
      <c r="AD95" s="49"/>
      <c r="AE95" s="49"/>
      <c r="AF95" s="49"/>
    </row>
    <row r="96" spans="1:32">
      <c r="A96" s="160" t="s">
        <v>41</v>
      </c>
      <c r="B96" s="161"/>
      <c r="C96" s="162"/>
      <c r="D96" s="162"/>
      <c r="E96" s="162"/>
      <c r="F96" s="162"/>
      <c r="G96" s="162"/>
      <c r="H96" s="162"/>
      <c r="I96" s="162"/>
      <c r="J96" s="163"/>
      <c r="K96" s="49"/>
      <c r="L96" s="160" t="s">
        <v>41</v>
      </c>
      <c r="M96" s="58"/>
      <c r="N96" s="162"/>
      <c r="O96" s="162"/>
      <c r="P96" s="162"/>
      <c r="Q96" s="162"/>
      <c r="R96" s="162"/>
      <c r="S96" s="162"/>
      <c r="T96" s="162"/>
      <c r="U96" s="163"/>
      <c r="W96" s="160" t="s">
        <v>41</v>
      </c>
      <c r="X96" s="58"/>
      <c r="Y96" s="162"/>
      <c r="Z96" s="162"/>
      <c r="AA96" s="162"/>
      <c r="AB96" s="162"/>
      <c r="AC96" s="162"/>
      <c r="AD96" s="162"/>
      <c r="AE96" s="162"/>
      <c r="AF96" s="163"/>
    </row>
    <row r="97" spans="1:32">
      <c r="A97" s="164" t="s">
        <v>42</v>
      </c>
      <c r="B97" s="16">
        <v>0</v>
      </c>
      <c r="C97" s="79">
        <v>0</v>
      </c>
      <c r="D97" s="79">
        <v>0.23214529192836708</v>
      </c>
      <c r="E97" s="79">
        <v>0.44259490313101785</v>
      </c>
      <c r="F97" s="79">
        <v>0</v>
      </c>
      <c r="G97" s="79">
        <v>0</v>
      </c>
      <c r="H97" s="79">
        <v>0</v>
      </c>
      <c r="I97" s="80">
        <v>0</v>
      </c>
      <c r="J97" s="21">
        <v>0.67474019505938498</v>
      </c>
      <c r="K97" s="49"/>
      <c r="L97" s="164" t="s">
        <v>42</v>
      </c>
      <c r="M97" s="165">
        <f t="shared" ref="M97:U102" si="30">B47-B97</f>
        <v>0</v>
      </c>
      <c r="N97" s="165">
        <f t="shared" si="30"/>
        <v>0</v>
      </c>
      <c r="O97" s="165">
        <f t="shared" si="30"/>
        <v>0</v>
      </c>
      <c r="P97" s="165">
        <f t="shared" si="30"/>
        <v>0</v>
      </c>
      <c r="Q97" s="165">
        <f t="shared" si="30"/>
        <v>0.39648155495397308</v>
      </c>
      <c r="R97" s="165">
        <f t="shared" si="30"/>
        <v>0</v>
      </c>
      <c r="S97" s="165">
        <f t="shared" si="30"/>
        <v>0</v>
      </c>
      <c r="T97" s="165">
        <f t="shared" si="30"/>
        <v>0</v>
      </c>
      <c r="U97" s="166">
        <f t="shared" si="30"/>
        <v>0.39648155495397308</v>
      </c>
      <c r="W97" s="164" t="s">
        <v>42</v>
      </c>
      <c r="X97" s="165" t="e">
        <f t="shared" ref="X97:AF102" si="31">M97/B97</f>
        <v>#DIV/0!</v>
      </c>
      <c r="Y97" s="165" t="e">
        <f t="shared" si="31"/>
        <v>#DIV/0!</v>
      </c>
      <c r="Z97" s="165">
        <f t="shared" si="31"/>
        <v>0</v>
      </c>
      <c r="AA97" s="165">
        <f t="shared" si="31"/>
        <v>0</v>
      </c>
      <c r="AB97" s="165" t="e">
        <f t="shared" si="31"/>
        <v>#DIV/0!</v>
      </c>
      <c r="AC97" s="165" t="e">
        <f t="shared" si="31"/>
        <v>#DIV/0!</v>
      </c>
      <c r="AD97" s="165" t="e">
        <f t="shared" si="31"/>
        <v>#DIV/0!</v>
      </c>
      <c r="AE97" s="165" t="e">
        <f t="shared" si="31"/>
        <v>#DIV/0!</v>
      </c>
      <c r="AF97" s="166">
        <f t="shared" si="31"/>
        <v>0.58760624883045254</v>
      </c>
    </row>
    <row r="98" spans="1:32">
      <c r="A98" s="164" t="s">
        <v>43</v>
      </c>
      <c r="B98" s="16">
        <v>1.8942812100658912</v>
      </c>
      <c r="C98" s="79">
        <v>1.235507620417003</v>
      </c>
      <c r="D98" s="79">
        <v>1.3533602901183091</v>
      </c>
      <c r="E98" s="79">
        <v>1.1436255689857802</v>
      </c>
      <c r="F98" s="79">
        <v>0.20297783757930585</v>
      </c>
      <c r="G98" s="79">
        <v>0.60028940139339115</v>
      </c>
      <c r="H98" s="79">
        <v>0.99431088051448335</v>
      </c>
      <c r="I98" s="80">
        <v>1.1532039525679894</v>
      </c>
      <c r="J98" s="21">
        <v>8.5775567616421533</v>
      </c>
      <c r="K98" s="49"/>
      <c r="L98" s="164" t="s">
        <v>43</v>
      </c>
      <c r="M98" s="167">
        <f t="shared" si="30"/>
        <v>0</v>
      </c>
      <c r="N98" s="167">
        <f t="shared" si="30"/>
        <v>0</v>
      </c>
      <c r="O98" s="167">
        <f t="shared" si="30"/>
        <v>0</v>
      </c>
      <c r="P98" s="167">
        <f t="shared" si="30"/>
        <v>0</v>
      </c>
      <c r="Q98" s="167">
        <f t="shared" si="30"/>
        <v>0.35131670242069424</v>
      </c>
      <c r="R98" s="167">
        <f t="shared" si="30"/>
        <v>-0.38777499314635422</v>
      </c>
      <c r="S98" s="167">
        <f t="shared" si="30"/>
        <v>-0.5648124395057692</v>
      </c>
      <c r="T98" s="167">
        <f t="shared" si="30"/>
        <v>-0.5627827179855216</v>
      </c>
      <c r="U98" s="168">
        <f t="shared" si="30"/>
        <v>-1.1640534482169507</v>
      </c>
      <c r="W98" s="164" t="s">
        <v>43</v>
      </c>
      <c r="X98" s="167">
        <f t="shared" si="31"/>
        <v>0</v>
      </c>
      <c r="Y98" s="167">
        <f t="shared" si="31"/>
        <v>0</v>
      </c>
      <c r="Z98" s="167">
        <f t="shared" si="31"/>
        <v>0</v>
      </c>
      <c r="AA98" s="167">
        <f t="shared" si="31"/>
        <v>0</v>
      </c>
      <c r="AB98" s="167">
        <f t="shared" si="31"/>
        <v>1.7308131104876445</v>
      </c>
      <c r="AC98" s="167">
        <f t="shared" si="31"/>
        <v>-0.64598007602041829</v>
      </c>
      <c r="AD98" s="167">
        <f t="shared" si="31"/>
        <v>-0.56804411032243751</v>
      </c>
      <c r="AE98" s="167">
        <f t="shared" si="31"/>
        <v>-0.4880166398426749</v>
      </c>
      <c r="AF98" s="168">
        <f t="shared" si="31"/>
        <v>-0.13570920957614221</v>
      </c>
    </row>
    <row r="99" spans="1:32">
      <c r="A99" s="164" t="s">
        <v>44</v>
      </c>
      <c r="B99" s="19">
        <v>0</v>
      </c>
      <c r="C99" s="64">
        <v>0.17999576194436062</v>
      </c>
      <c r="D99" s="64">
        <v>0.68943498141875981</v>
      </c>
      <c r="E99" s="64">
        <v>6.1199090581489335</v>
      </c>
      <c r="F99" s="64">
        <v>8.5873726124390029</v>
      </c>
      <c r="G99" s="64">
        <v>2.9250595821709808</v>
      </c>
      <c r="H99" s="64">
        <v>0.330243982671175</v>
      </c>
      <c r="I99" s="86">
        <v>0.330243982671175</v>
      </c>
      <c r="J99" s="21">
        <v>19.16225996146439</v>
      </c>
      <c r="K99" s="49"/>
      <c r="L99" s="164" t="s">
        <v>44</v>
      </c>
      <c r="M99" s="167">
        <f t="shared" si="30"/>
        <v>0</v>
      </c>
      <c r="N99" s="167">
        <f t="shared" si="30"/>
        <v>0</v>
      </c>
      <c r="O99" s="167">
        <f t="shared" si="30"/>
        <v>0</v>
      </c>
      <c r="P99" s="167">
        <f t="shared" si="30"/>
        <v>0</v>
      </c>
      <c r="Q99" s="167">
        <f t="shared" si="30"/>
        <v>-0.53511212243900275</v>
      </c>
      <c r="R99" s="167">
        <f t="shared" si="30"/>
        <v>1.2154039278309465</v>
      </c>
      <c r="S99" s="167">
        <f t="shared" si="30"/>
        <v>-0.11768347743976773</v>
      </c>
      <c r="T99" s="167">
        <f t="shared" si="30"/>
        <v>-0.12387456011641068</v>
      </c>
      <c r="U99" s="168">
        <f t="shared" si="30"/>
        <v>0.43873376783576745</v>
      </c>
      <c r="W99" s="164" t="s">
        <v>44</v>
      </c>
      <c r="X99" s="167" t="e">
        <f t="shared" si="31"/>
        <v>#DIV/0!</v>
      </c>
      <c r="Y99" s="167">
        <f t="shared" si="31"/>
        <v>0</v>
      </c>
      <c r="Z99" s="167">
        <f t="shared" si="31"/>
        <v>0</v>
      </c>
      <c r="AA99" s="167">
        <f t="shared" si="31"/>
        <v>0</v>
      </c>
      <c r="AB99" s="167">
        <f t="shared" si="31"/>
        <v>-6.2313835277612244E-2</v>
      </c>
      <c r="AC99" s="167">
        <f t="shared" si="31"/>
        <v>0.41551424635558126</v>
      </c>
      <c r="AD99" s="167">
        <f t="shared" si="31"/>
        <v>-0.35635313166915611</v>
      </c>
      <c r="AE99" s="167">
        <f t="shared" si="31"/>
        <v>-0.37510012783413221</v>
      </c>
      <c r="AF99" s="168">
        <f t="shared" si="31"/>
        <v>2.289572152335205E-2</v>
      </c>
    </row>
    <row r="100" spans="1:32">
      <c r="A100" s="147" t="s">
        <v>24</v>
      </c>
      <c r="B100" s="19">
        <v>0</v>
      </c>
      <c r="C100" s="64">
        <v>0</v>
      </c>
      <c r="D100" s="64">
        <v>0</v>
      </c>
      <c r="E100" s="64">
        <v>0</v>
      </c>
      <c r="F100" s="64">
        <v>0</v>
      </c>
      <c r="G100" s="64">
        <v>0</v>
      </c>
      <c r="H100" s="64">
        <v>0</v>
      </c>
      <c r="I100" s="86">
        <v>0</v>
      </c>
      <c r="J100" s="21">
        <v>0</v>
      </c>
      <c r="K100" s="49"/>
      <c r="L100" s="147" t="s">
        <v>24</v>
      </c>
      <c r="M100" s="167">
        <f t="shared" si="30"/>
        <v>0</v>
      </c>
      <c r="N100" s="167">
        <f t="shared" si="30"/>
        <v>0</v>
      </c>
      <c r="O100" s="167">
        <f t="shared" si="30"/>
        <v>0</v>
      </c>
      <c r="P100" s="167">
        <f t="shared" si="30"/>
        <v>0</v>
      </c>
      <c r="Q100" s="167">
        <f t="shared" si="30"/>
        <v>0</v>
      </c>
      <c r="R100" s="167">
        <f t="shared" si="30"/>
        <v>0</v>
      </c>
      <c r="S100" s="167">
        <f t="shared" si="30"/>
        <v>0</v>
      </c>
      <c r="T100" s="167">
        <f t="shared" si="30"/>
        <v>0</v>
      </c>
      <c r="U100" s="168">
        <f t="shared" si="30"/>
        <v>0</v>
      </c>
      <c r="W100" s="147" t="s">
        <v>24</v>
      </c>
      <c r="X100" s="167" t="e">
        <f t="shared" si="31"/>
        <v>#DIV/0!</v>
      </c>
      <c r="Y100" s="167" t="e">
        <f t="shared" si="31"/>
        <v>#DIV/0!</v>
      </c>
      <c r="Z100" s="167" t="e">
        <f t="shared" si="31"/>
        <v>#DIV/0!</v>
      </c>
      <c r="AA100" s="167" t="e">
        <f t="shared" si="31"/>
        <v>#DIV/0!</v>
      </c>
      <c r="AB100" s="167" t="e">
        <f t="shared" si="31"/>
        <v>#DIV/0!</v>
      </c>
      <c r="AC100" s="167" t="e">
        <f t="shared" si="31"/>
        <v>#DIV/0!</v>
      </c>
      <c r="AD100" s="167" t="e">
        <f t="shared" si="31"/>
        <v>#DIV/0!</v>
      </c>
      <c r="AE100" s="167" t="e">
        <f t="shared" si="31"/>
        <v>#DIV/0!</v>
      </c>
      <c r="AF100" s="168" t="e">
        <f t="shared" si="31"/>
        <v>#DIV/0!</v>
      </c>
    </row>
    <row r="101" spans="1:32">
      <c r="A101" s="147" t="s">
        <v>45</v>
      </c>
      <c r="B101" s="19">
        <v>0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  <c r="I101" s="151">
        <v>0</v>
      </c>
      <c r="J101" s="21">
        <v>0</v>
      </c>
      <c r="K101" s="49"/>
      <c r="L101" s="147" t="s">
        <v>45</v>
      </c>
      <c r="M101" s="167">
        <f t="shared" si="30"/>
        <v>0</v>
      </c>
      <c r="N101" s="167">
        <f t="shared" si="30"/>
        <v>0</v>
      </c>
      <c r="O101" s="167">
        <f t="shared" si="30"/>
        <v>0</v>
      </c>
      <c r="P101" s="167">
        <f t="shared" si="30"/>
        <v>0</v>
      </c>
      <c r="Q101" s="167">
        <f t="shared" si="30"/>
        <v>0</v>
      </c>
      <c r="R101" s="167">
        <f t="shared" si="30"/>
        <v>0</v>
      </c>
      <c r="S101" s="167">
        <f t="shared" si="30"/>
        <v>0</v>
      </c>
      <c r="T101" s="167">
        <f t="shared" si="30"/>
        <v>0</v>
      </c>
      <c r="U101" s="168">
        <f t="shared" si="30"/>
        <v>0</v>
      </c>
      <c r="W101" s="147" t="s">
        <v>45</v>
      </c>
      <c r="X101" s="167" t="e">
        <f t="shared" si="31"/>
        <v>#DIV/0!</v>
      </c>
      <c r="Y101" s="167" t="e">
        <f t="shared" si="31"/>
        <v>#DIV/0!</v>
      </c>
      <c r="Z101" s="167" t="e">
        <f t="shared" si="31"/>
        <v>#DIV/0!</v>
      </c>
      <c r="AA101" s="167" t="e">
        <f t="shared" si="31"/>
        <v>#DIV/0!</v>
      </c>
      <c r="AB101" s="167" t="e">
        <f t="shared" si="31"/>
        <v>#DIV/0!</v>
      </c>
      <c r="AC101" s="167" t="e">
        <f t="shared" si="31"/>
        <v>#DIV/0!</v>
      </c>
      <c r="AD101" s="167" t="e">
        <f t="shared" si="31"/>
        <v>#DIV/0!</v>
      </c>
      <c r="AE101" s="167" t="e">
        <f t="shared" si="31"/>
        <v>#DIV/0!</v>
      </c>
      <c r="AF101" s="168" t="e">
        <f t="shared" si="31"/>
        <v>#DIV/0!</v>
      </c>
    </row>
    <row r="102" spans="1:32">
      <c r="A102" s="169" t="s">
        <v>46</v>
      </c>
      <c r="B102" s="54">
        <f t="shared" ref="B102:J102" si="32">SUM(B97:B101)</f>
        <v>1.8942812100658912</v>
      </c>
      <c r="C102" s="54">
        <f t="shared" si="32"/>
        <v>1.4155033823613636</v>
      </c>
      <c r="D102" s="155">
        <f t="shared" si="32"/>
        <v>2.274940563465436</v>
      </c>
      <c r="E102" s="54">
        <f t="shared" si="32"/>
        <v>7.7061295302657316</v>
      </c>
      <c r="F102" s="54">
        <f t="shared" si="32"/>
        <v>8.7903504500183089</v>
      </c>
      <c r="G102" s="54">
        <f t="shared" si="32"/>
        <v>3.5253489835643719</v>
      </c>
      <c r="H102" s="54">
        <f t="shared" si="32"/>
        <v>1.3245548631856583</v>
      </c>
      <c r="I102" s="54">
        <f t="shared" si="32"/>
        <v>1.4834479352391643</v>
      </c>
      <c r="J102" s="54">
        <f t="shared" si="32"/>
        <v>28.414556918165928</v>
      </c>
      <c r="K102" s="49"/>
      <c r="L102" s="169" t="s">
        <v>46</v>
      </c>
      <c r="M102" s="170">
        <f t="shared" si="30"/>
        <v>0</v>
      </c>
      <c r="N102" s="171">
        <f t="shared" si="30"/>
        <v>0</v>
      </c>
      <c r="O102" s="172">
        <f t="shared" si="30"/>
        <v>0</v>
      </c>
      <c r="P102" s="171">
        <f t="shared" si="30"/>
        <v>0</v>
      </c>
      <c r="Q102" s="171">
        <f t="shared" si="30"/>
        <v>0.21268613493566413</v>
      </c>
      <c r="R102" s="171">
        <f t="shared" si="30"/>
        <v>0.8276289346845922</v>
      </c>
      <c r="S102" s="171">
        <f t="shared" si="30"/>
        <v>-0.68249591694553691</v>
      </c>
      <c r="T102" s="171">
        <f t="shared" si="30"/>
        <v>-0.68665727810193222</v>
      </c>
      <c r="U102" s="171">
        <f t="shared" si="30"/>
        <v>-0.32883812542721103</v>
      </c>
      <c r="W102" s="169" t="s">
        <v>46</v>
      </c>
      <c r="X102" s="170">
        <f t="shared" si="31"/>
        <v>0</v>
      </c>
      <c r="Y102" s="171">
        <f t="shared" si="31"/>
        <v>0</v>
      </c>
      <c r="Z102" s="172">
        <f t="shared" si="31"/>
        <v>0</v>
      </c>
      <c r="AA102" s="171">
        <f t="shared" si="31"/>
        <v>0</v>
      </c>
      <c r="AB102" s="171">
        <f t="shared" si="31"/>
        <v>2.4195410199512709E-2</v>
      </c>
      <c r="AC102" s="171">
        <f t="shared" si="31"/>
        <v>0.23476510794905817</v>
      </c>
      <c r="AD102" s="171">
        <f t="shared" si="31"/>
        <v>-0.51526436232628425</v>
      </c>
      <c r="AE102" s="171">
        <f t="shared" si="31"/>
        <v>-0.46287925702712851</v>
      </c>
      <c r="AF102" s="171">
        <f t="shared" si="31"/>
        <v>-1.1572875353089845E-2</v>
      </c>
    </row>
    <row r="103" spans="1:32">
      <c r="A103" s="66"/>
      <c r="B103" s="68"/>
      <c r="C103" s="68"/>
      <c r="D103" s="69"/>
      <c r="E103" s="68"/>
      <c r="F103" s="68"/>
      <c r="G103" s="68"/>
      <c r="H103" s="68"/>
      <c r="I103" s="68"/>
      <c r="J103" s="68"/>
      <c r="K103" s="49"/>
      <c r="L103" s="66"/>
      <c r="M103" s="67"/>
      <c r="N103" s="68"/>
      <c r="O103" s="69"/>
      <c r="P103" s="68"/>
      <c r="Q103" s="68"/>
      <c r="R103" s="68"/>
      <c r="S103" s="68"/>
      <c r="T103" s="68"/>
      <c r="U103" s="68"/>
      <c r="W103" s="66"/>
      <c r="X103" s="67"/>
      <c r="Y103" s="68"/>
      <c r="Z103" s="69"/>
      <c r="AA103" s="68"/>
      <c r="AB103" s="68"/>
      <c r="AC103" s="68"/>
      <c r="AD103" s="68"/>
      <c r="AE103" s="68"/>
      <c r="AF103" s="68"/>
    </row>
    <row r="104" spans="1:32" ht="25.2">
      <c r="A104" s="173" t="s">
        <v>47</v>
      </c>
      <c r="B104" s="174">
        <f t="shared" ref="B104:I104" si="33">+B94-B102</f>
        <v>315.02111378360104</v>
      </c>
      <c r="C104" s="174">
        <f t="shared" si="33"/>
        <v>304.5520159832476</v>
      </c>
      <c r="D104" s="174">
        <f t="shared" si="33"/>
        <v>299.41832996500835</v>
      </c>
      <c r="E104" s="174">
        <f t="shared" si="33"/>
        <v>316.58553651430594</v>
      </c>
      <c r="F104" s="174">
        <f t="shared" si="33"/>
        <v>310.05942453180751</v>
      </c>
      <c r="G104" s="174">
        <f t="shared" si="33"/>
        <v>327.67032453639462</v>
      </c>
      <c r="H104" s="174">
        <f t="shared" si="33"/>
        <v>337.11292164320258</v>
      </c>
      <c r="I104" s="174">
        <f t="shared" si="33"/>
        <v>330.76159630497716</v>
      </c>
      <c r="J104" s="174">
        <f>SUM(B104:I104)</f>
        <v>2541.1812632625447</v>
      </c>
      <c r="K104" s="49"/>
      <c r="L104" s="173" t="s">
        <v>47</v>
      </c>
      <c r="M104" s="174">
        <f t="shared" ref="M104:U104" si="34">B54-B104</f>
        <v>0</v>
      </c>
      <c r="N104" s="174">
        <f t="shared" si="34"/>
        <v>0</v>
      </c>
      <c r="O104" s="174">
        <f t="shared" si="34"/>
        <v>0</v>
      </c>
      <c r="P104" s="174">
        <f t="shared" si="34"/>
        <v>0</v>
      </c>
      <c r="Q104" s="174">
        <f t="shared" si="34"/>
        <v>-8.1583185500015816</v>
      </c>
      <c r="R104" s="174">
        <f t="shared" si="34"/>
        <v>-28.548168305920626</v>
      </c>
      <c r="S104" s="174">
        <f t="shared" si="34"/>
        <v>-24.970517587981476</v>
      </c>
      <c r="T104" s="174">
        <f t="shared" si="34"/>
        <v>-21.339756976251408</v>
      </c>
      <c r="U104" s="174">
        <f t="shared" si="34"/>
        <v>-83.016761420155035</v>
      </c>
      <c r="W104" s="173" t="s">
        <v>47</v>
      </c>
      <c r="X104" s="174">
        <f t="shared" ref="X104:AF104" si="35">M104/B104</f>
        <v>0</v>
      </c>
      <c r="Y104" s="174">
        <f t="shared" si="35"/>
        <v>0</v>
      </c>
      <c r="Z104" s="174">
        <f t="shared" si="35"/>
        <v>0</v>
      </c>
      <c r="AA104" s="174">
        <f t="shared" si="35"/>
        <v>0</v>
      </c>
      <c r="AB104" s="174">
        <f t="shared" si="35"/>
        <v>-2.631211279038112E-2</v>
      </c>
      <c r="AC104" s="174">
        <f t="shared" si="35"/>
        <v>-8.7124668205190964E-2</v>
      </c>
      <c r="AD104" s="174">
        <f t="shared" si="35"/>
        <v>-7.4071671492942817E-2</v>
      </c>
      <c r="AE104" s="174">
        <f t="shared" si="35"/>
        <v>-6.4517033460484291E-2</v>
      </c>
      <c r="AF104" s="174">
        <f t="shared" si="35"/>
        <v>-3.2668571353140059E-2</v>
      </c>
    </row>
    <row r="105" spans="1:32">
      <c r="B105" s="175"/>
      <c r="C105" s="175"/>
      <c r="D105" s="175"/>
      <c r="E105" s="175"/>
      <c r="F105" s="175"/>
      <c r="G105" s="175"/>
      <c r="H105" s="175"/>
      <c r="I105" s="175"/>
      <c r="J105" s="175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32">
      <c r="B106" s="56"/>
      <c r="C106" s="49"/>
      <c r="D106" s="73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32">
      <c r="A107" s="8" t="s">
        <v>53</v>
      </c>
      <c r="B107" s="56"/>
      <c r="C107" s="49"/>
      <c r="D107" s="73"/>
      <c r="E107" s="49"/>
      <c r="F107" s="49"/>
      <c r="G107" s="49"/>
      <c r="H107" s="49"/>
      <c r="I107" s="49"/>
      <c r="J107" s="49"/>
      <c r="K107" s="49"/>
      <c r="L107" s="73" t="s">
        <v>54</v>
      </c>
      <c r="M107" s="49"/>
      <c r="N107" s="49"/>
      <c r="O107" s="73"/>
      <c r="P107" s="49"/>
      <c r="Q107" s="49"/>
      <c r="R107" s="49"/>
      <c r="S107" s="49"/>
      <c r="T107" s="49"/>
      <c r="U107" s="49"/>
      <c r="W107" s="8" t="s">
        <v>55</v>
      </c>
      <c r="Z107" s="8"/>
    </row>
    <row r="108" spans="1:32">
      <c r="A108" s="9" t="str">
        <f>$A$3&amp;" prices"</f>
        <v>2017/18 prices</v>
      </c>
      <c r="B108" s="56"/>
      <c r="C108" s="49"/>
      <c r="D108" s="73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73"/>
      <c r="P108" s="49"/>
      <c r="Q108" s="49"/>
      <c r="R108" s="49"/>
      <c r="S108" s="49"/>
      <c r="T108" s="49"/>
      <c r="U108" s="49"/>
      <c r="Z108" s="8"/>
    </row>
    <row r="109" spans="1:32">
      <c r="A109" s="10"/>
      <c r="B109" s="176"/>
      <c r="C109" s="177"/>
      <c r="D109" s="178"/>
      <c r="E109" s="177"/>
      <c r="F109" s="177"/>
      <c r="G109" s="177"/>
      <c r="H109" s="177"/>
      <c r="I109" s="177"/>
      <c r="J109" s="179"/>
      <c r="K109" s="49"/>
      <c r="L109" s="10"/>
      <c r="M109" s="176"/>
      <c r="N109" s="177"/>
      <c r="O109" s="178"/>
      <c r="P109" s="177"/>
      <c r="Q109" s="177"/>
      <c r="R109" s="177"/>
      <c r="S109" s="177"/>
      <c r="T109" s="177"/>
      <c r="U109" s="179"/>
      <c r="W109" s="10"/>
      <c r="X109" s="176"/>
      <c r="Y109" s="177"/>
      <c r="Z109" s="178"/>
      <c r="AA109" s="177"/>
      <c r="AB109" s="177"/>
      <c r="AC109" s="177"/>
      <c r="AD109" s="177"/>
      <c r="AE109" s="177"/>
      <c r="AF109" s="179"/>
    </row>
    <row r="110" spans="1:32">
      <c r="A110" s="11"/>
      <c r="B110" s="626" t="s">
        <v>56</v>
      </c>
      <c r="C110" s="627"/>
      <c r="D110" s="627"/>
      <c r="E110" s="627"/>
      <c r="F110" s="627"/>
      <c r="G110" s="627"/>
      <c r="H110" s="627"/>
      <c r="I110" s="627"/>
      <c r="J110" s="628"/>
      <c r="K110" s="49"/>
      <c r="L110" s="11"/>
      <c r="M110" s="626" t="s">
        <v>56</v>
      </c>
      <c r="N110" s="627"/>
      <c r="O110" s="627"/>
      <c r="P110" s="627"/>
      <c r="Q110" s="627"/>
      <c r="R110" s="627"/>
      <c r="S110" s="627"/>
      <c r="T110" s="627"/>
      <c r="U110" s="628"/>
      <c r="W110" s="11"/>
      <c r="X110" s="626" t="s">
        <v>56</v>
      </c>
      <c r="Y110" s="627"/>
      <c r="Z110" s="627"/>
      <c r="AA110" s="627"/>
      <c r="AB110" s="627"/>
      <c r="AC110" s="627"/>
      <c r="AD110" s="627"/>
      <c r="AE110" s="627"/>
      <c r="AF110" s="628"/>
    </row>
    <row r="111" spans="1:32" ht="25.2">
      <c r="A111" s="12" t="s">
        <v>7</v>
      </c>
      <c r="B111" s="13">
        <v>2014</v>
      </c>
      <c r="C111" s="14">
        <v>2015</v>
      </c>
      <c r="D111" s="14">
        <v>2016</v>
      </c>
      <c r="E111" s="76">
        <v>2017</v>
      </c>
      <c r="F111" s="14">
        <v>2018</v>
      </c>
      <c r="G111" s="76">
        <v>2019</v>
      </c>
      <c r="H111" s="14">
        <v>2020</v>
      </c>
      <c r="I111" s="77">
        <v>2021</v>
      </c>
      <c r="J111" s="78" t="s">
        <v>6</v>
      </c>
      <c r="K111" s="49"/>
      <c r="L111" s="12" t="s">
        <v>7</v>
      </c>
      <c r="M111" s="13">
        <v>2014</v>
      </c>
      <c r="N111" s="14">
        <v>2015</v>
      </c>
      <c r="O111" s="14">
        <v>2016</v>
      </c>
      <c r="P111" s="76">
        <v>2017</v>
      </c>
      <c r="Q111" s="14">
        <v>2018</v>
      </c>
      <c r="R111" s="76">
        <v>2019</v>
      </c>
      <c r="S111" s="14">
        <v>2020</v>
      </c>
      <c r="T111" s="77">
        <v>2021</v>
      </c>
      <c r="U111" s="78" t="s">
        <v>6</v>
      </c>
      <c r="W111" s="12" t="s">
        <v>7</v>
      </c>
      <c r="X111" s="13">
        <v>2014</v>
      </c>
      <c r="Y111" s="14">
        <v>2015</v>
      </c>
      <c r="Z111" s="14">
        <v>2016</v>
      </c>
      <c r="AA111" s="76">
        <v>2017</v>
      </c>
      <c r="AB111" s="14">
        <v>2018</v>
      </c>
      <c r="AC111" s="76">
        <v>2019</v>
      </c>
      <c r="AD111" s="14">
        <v>2020</v>
      </c>
      <c r="AE111" s="77">
        <v>2021</v>
      </c>
      <c r="AF111" s="78" t="s">
        <v>6</v>
      </c>
    </row>
    <row r="112" spans="1:32">
      <c r="A112" s="15" t="s">
        <v>8</v>
      </c>
      <c r="B112" s="16">
        <v>17.598129743701541</v>
      </c>
      <c r="C112" s="79">
        <v>16.958428001747333</v>
      </c>
      <c r="D112" s="79">
        <v>15.217450410061703</v>
      </c>
      <c r="E112" s="79">
        <v>14.520390021211652</v>
      </c>
      <c r="F112" s="79">
        <v>16.289227453069575</v>
      </c>
      <c r="G112" s="79">
        <v>14.181802576034785</v>
      </c>
      <c r="H112" s="79">
        <v>13.158487627207602</v>
      </c>
      <c r="I112" s="80">
        <v>15.374880012124018</v>
      </c>
      <c r="J112" s="18">
        <v>123.2987958451582</v>
      </c>
      <c r="K112" s="180"/>
      <c r="L112" s="15" t="s">
        <v>8</v>
      </c>
      <c r="M112" s="181">
        <f t="shared" ref="M112:U137" si="36">B12-B112</f>
        <v>-8.3309818641819042</v>
      </c>
      <c r="N112" s="182">
        <f t="shared" si="36"/>
        <v>-10.145204893994936</v>
      </c>
      <c r="O112" s="182">
        <f t="shared" si="36"/>
        <v>-3.3203036633900833</v>
      </c>
      <c r="P112" s="182">
        <f t="shared" si="36"/>
        <v>-4.9441755615971683</v>
      </c>
      <c r="Q112" s="182">
        <f t="shared" si="36"/>
        <v>-8.7833470463394754</v>
      </c>
      <c r="R112" s="182">
        <f t="shared" si="36"/>
        <v>-5.4599373276198335</v>
      </c>
      <c r="S112" s="182">
        <f t="shared" si="36"/>
        <v>-5.6059900649360443</v>
      </c>
      <c r="T112" s="183">
        <f t="shared" si="36"/>
        <v>-6.5125244233234074</v>
      </c>
      <c r="U112" s="184">
        <f t="shared" si="36"/>
        <v>-53.102464845382841</v>
      </c>
      <c r="W112" s="15" t="s">
        <v>8</v>
      </c>
      <c r="X112" s="185">
        <f t="shared" ref="X112:AF140" si="37">M112/B112</f>
        <v>-0.47340154809141605</v>
      </c>
      <c r="Y112" s="186">
        <f t="shared" si="37"/>
        <v>-0.59823970081127875</v>
      </c>
      <c r="Z112" s="186">
        <f t="shared" si="37"/>
        <v>-0.21819053612257641</v>
      </c>
      <c r="AA112" s="186">
        <f t="shared" si="37"/>
        <v>-0.3404988126609978</v>
      </c>
      <c r="AB112" s="186">
        <f t="shared" si="37"/>
        <v>-0.53921200815968251</v>
      </c>
      <c r="AC112" s="186">
        <f t="shared" si="37"/>
        <v>-0.38499600444631388</v>
      </c>
      <c r="AD112" s="186">
        <f t="shared" si="37"/>
        <v>-0.42603604789235999</v>
      </c>
      <c r="AE112" s="187">
        <f t="shared" si="37"/>
        <v>-0.42358212995404776</v>
      </c>
      <c r="AF112" s="188">
        <f t="shared" si="37"/>
        <v>-0.43068113099879973</v>
      </c>
    </row>
    <row r="113" spans="1:32">
      <c r="A113" s="15" t="s">
        <v>9</v>
      </c>
      <c r="B113" s="19">
        <v>9.0453940312153929</v>
      </c>
      <c r="C113" s="64">
        <v>9.2331103991262538</v>
      </c>
      <c r="D113" s="64">
        <v>9.3496959468828411</v>
      </c>
      <c r="E113" s="64">
        <v>10.068333077898926</v>
      </c>
      <c r="F113" s="64">
        <v>9.9567369698804331</v>
      </c>
      <c r="G113" s="64">
        <v>10.176524565765018</v>
      </c>
      <c r="H113" s="64">
        <v>10.244236854266456</v>
      </c>
      <c r="I113" s="86">
        <v>10.405169986050927</v>
      </c>
      <c r="J113" s="21">
        <v>78.479201831086243</v>
      </c>
      <c r="K113" s="180"/>
      <c r="L113" s="15" t="s">
        <v>9</v>
      </c>
      <c r="M113" s="189">
        <f t="shared" si="36"/>
        <v>2.1856075916926638</v>
      </c>
      <c r="N113" s="190">
        <f t="shared" si="36"/>
        <v>0.96030258537244961</v>
      </c>
      <c r="O113" s="190">
        <f t="shared" si="36"/>
        <v>3.2319322690955747</v>
      </c>
      <c r="P113" s="190">
        <f t="shared" si="36"/>
        <v>1.4363620391355525</v>
      </c>
      <c r="Q113" s="190">
        <f t="shared" si="36"/>
        <v>2.6356501503780958</v>
      </c>
      <c r="R113" s="190">
        <f t="shared" si="36"/>
        <v>1.0849741795121517</v>
      </c>
      <c r="S113" s="190">
        <f t="shared" si="36"/>
        <v>1.6735105644595816</v>
      </c>
      <c r="T113" s="191">
        <f t="shared" si="36"/>
        <v>1.5774342410332718</v>
      </c>
      <c r="U113" s="192">
        <f t="shared" si="36"/>
        <v>14.785773620679336</v>
      </c>
      <c r="W113" s="15" t="s">
        <v>9</v>
      </c>
      <c r="X113" s="193">
        <f t="shared" si="37"/>
        <v>0.24162657637137699</v>
      </c>
      <c r="Y113" s="194">
        <f t="shared" si="37"/>
        <v>0.10400640129498774</v>
      </c>
      <c r="Z113" s="194">
        <f t="shared" si="37"/>
        <v>0.34567244619041226</v>
      </c>
      <c r="AA113" s="194">
        <f t="shared" si="37"/>
        <v>0.14266135496535387</v>
      </c>
      <c r="AB113" s="194">
        <f t="shared" si="37"/>
        <v>0.26471023171055469</v>
      </c>
      <c r="AC113" s="194">
        <f t="shared" si="37"/>
        <v>0.10661539433237628</v>
      </c>
      <c r="AD113" s="194">
        <f t="shared" si="37"/>
        <v>0.1633611745088272</v>
      </c>
      <c r="AE113" s="195">
        <f t="shared" si="37"/>
        <v>0.15160100634088297</v>
      </c>
      <c r="AF113" s="196">
        <f t="shared" si="37"/>
        <v>0.18840372067625402</v>
      </c>
    </row>
    <row r="114" spans="1:32">
      <c r="A114" s="15" t="s">
        <v>10</v>
      </c>
      <c r="B114" s="19">
        <v>9.9712510659038465</v>
      </c>
      <c r="C114" s="64">
        <v>9.9865015437675613</v>
      </c>
      <c r="D114" s="64">
        <v>9.9997276922157514</v>
      </c>
      <c r="E114" s="64">
        <v>10.021484142614431</v>
      </c>
      <c r="F114" s="64">
        <v>10.034143843523022</v>
      </c>
      <c r="G114" s="64">
        <v>10.0346833945872</v>
      </c>
      <c r="H114" s="64">
        <v>10.037758264096036</v>
      </c>
      <c r="I114" s="86">
        <v>10.115514966450919</v>
      </c>
      <c r="J114" s="21">
        <v>80.20106491315876</v>
      </c>
      <c r="K114" s="180"/>
      <c r="L114" s="15" t="s">
        <v>10</v>
      </c>
      <c r="M114" s="189">
        <f t="shared" si="36"/>
        <v>-5.8373072389598537</v>
      </c>
      <c r="N114" s="190">
        <f t="shared" si="36"/>
        <v>-6.2351677732783664</v>
      </c>
      <c r="O114" s="190">
        <f t="shared" si="36"/>
        <v>-6.3799992847233185</v>
      </c>
      <c r="P114" s="190">
        <f t="shared" si="36"/>
        <v>-6.3562999461793694</v>
      </c>
      <c r="Q114" s="190">
        <f t="shared" si="36"/>
        <v>-5.4743953998966246</v>
      </c>
      <c r="R114" s="190">
        <f t="shared" si="36"/>
        <v>-5.6140208029377323</v>
      </c>
      <c r="S114" s="190">
        <f t="shared" si="36"/>
        <v>-6.0272044963589426</v>
      </c>
      <c r="T114" s="191">
        <f t="shared" si="36"/>
        <v>-6.2990550008260566</v>
      </c>
      <c r="U114" s="192">
        <f t="shared" si="36"/>
        <v>-48.223449943160261</v>
      </c>
      <c r="W114" s="15" t="s">
        <v>10</v>
      </c>
      <c r="X114" s="193">
        <f t="shared" si="37"/>
        <v>-0.58541372595864227</v>
      </c>
      <c r="Y114" s="194">
        <f t="shared" si="37"/>
        <v>-0.62435956635581247</v>
      </c>
      <c r="Z114" s="194">
        <f t="shared" si="37"/>
        <v>-0.63801730218011876</v>
      </c>
      <c r="AA114" s="194">
        <f t="shared" si="37"/>
        <v>-0.63426732564994326</v>
      </c>
      <c r="AB114" s="194">
        <f t="shared" si="37"/>
        <v>-0.54557673133521134</v>
      </c>
      <c r="AC114" s="194">
        <f t="shared" si="37"/>
        <v>-0.5594616772828116</v>
      </c>
      <c r="AD114" s="194">
        <f t="shared" si="37"/>
        <v>-0.60045324242541231</v>
      </c>
      <c r="AE114" s="195">
        <f t="shared" si="37"/>
        <v>-0.62271224171161632</v>
      </c>
      <c r="AF114" s="196">
        <f t="shared" si="37"/>
        <v>-0.60128191558773347</v>
      </c>
    </row>
    <row r="115" spans="1:32">
      <c r="A115" s="15" t="s">
        <v>11</v>
      </c>
      <c r="B115" s="19">
        <v>2.8868055116108744</v>
      </c>
      <c r="C115" s="64">
        <v>3.0151066374224551</v>
      </c>
      <c r="D115" s="64">
        <v>2.7568553325051197</v>
      </c>
      <c r="E115" s="64">
        <v>4.0042460604480006</v>
      </c>
      <c r="F115" s="64">
        <v>3.5691732914109102</v>
      </c>
      <c r="G115" s="64">
        <v>3.6413699181580661</v>
      </c>
      <c r="H115" s="64">
        <v>3.4428045721755272</v>
      </c>
      <c r="I115" s="86">
        <v>3.9954132092702728</v>
      </c>
      <c r="J115" s="21">
        <v>27.311774533001227</v>
      </c>
      <c r="K115" s="180"/>
      <c r="L115" s="15" t="s">
        <v>11</v>
      </c>
      <c r="M115" s="189">
        <f t="shared" si="36"/>
        <v>-0.40968789675419837</v>
      </c>
      <c r="N115" s="190">
        <f t="shared" si="36"/>
        <v>-0.7373089319860906</v>
      </c>
      <c r="O115" s="190">
        <f t="shared" si="36"/>
        <v>-0.1846174363315729</v>
      </c>
      <c r="P115" s="190">
        <f t="shared" si="36"/>
        <v>-2.3279655085825572</v>
      </c>
      <c r="Q115" s="190">
        <f t="shared" si="36"/>
        <v>-2.5850213297835021</v>
      </c>
      <c r="R115" s="190">
        <f t="shared" si="36"/>
        <v>-1.7059277023885353</v>
      </c>
      <c r="S115" s="190">
        <f t="shared" si="36"/>
        <v>-1.5362969234628128</v>
      </c>
      <c r="T115" s="191">
        <f t="shared" si="36"/>
        <v>-2.091035215916845</v>
      </c>
      <c r="U115" s="192">
        <f t="shared" si="36"/>
        <v>-11.577860945206115</v>
      </c>
      <c r="W115" s="15" t="s">
        <v>11</v>
      </c>
      <c r="X115" s="193">
        <f t="shared" si="37"/>
        <v>-0.14191738761285214</v>
      </c>
      <c r="Y115" s="194">
        <f t="shared" si="37"/>
        <v>-0.24453826038351961</v>
      </c>
      <c r="Z115" s="194">
        <f t="shared" si="37"/>
        <v>-6.6966675456202981E-2</v>
      </c>
      <c r="AA115" s="194">
        <f t="shared" si="37"/>
        <v>-0.58137423960457146</v>
      </c>
      <c r="AB115" s="194">
        <f t="shared" si="37"/>
        <v>-0.7242633289911321</v>
      </c>
      <c r="AC115" s="194">
        <f t="shared" si="37"/>
        <v>-0.46848514178187478</v>
      </c>
      <c r="AD115" s="194">
        <f t="shared" si="37"/>
        <v>-0.44623413593645206</v>
      </c>
      <c r="AE115" s="195">
        <f t="shared" si="37"/>
        <v>-0.52335893846102444</v>
      </c>
      <c r="AF115" s="196">
        <f t="shared" si="37"/>
        <v>-0.42391463547036873</v>
      </c>
    </row>
    <row r="116" spans="1:32">
      <c r="A116" s="15" t="s">
        <v>12</v>
      </c>
      <c r="B116" s="19">
        <v>29.337509746953494</v>
      </c>
      <c r="C116" s="64">
        <v>27.84360993664237</v>
      </c>
      <c r="D116" s="64">
        <v>21.078479602267791</v>
      </c>
      <c r="E116" s="64">
        <v>17.435639699143699</v>
      </c>
      <c r="F116" s="64">
        <v>15.667951796722503</v>
      </c>
      <c r="G116" s="64">
        <v>15.367883138770333</v>
      </c>
      <c r="H116" s="64">
        <v>19.910960935221471</v>
      </c>
      <c r="I116" s="86">
        <v>19.141468765574992</v>
      </c>
      <c r="J116" s="21">
        <v>165.78350362129666</v>
      </c>
      <c r="K116" s="180"/>
      <c r="L116" s="15" t="s">
        <v>12</v>
      </c>
      <c r="M116" s="189">
        <f t="shared" si="36"/>
        <v>-0.72573542244436595</v>
      </c>
      <c r="N116" s="190">
        <f t="shared" si="36"/>
        <v>-4.488788668559625</v>
      </c>
      <c r="O116" s="190">
        <f t="shared" si="36"/>
        <v>-1.7207433763829272E-2</v>
      </c>
      <c r="P116" s="190">
        <f t="shared" si="36"/>
        <v>6.1460659851979216</v>
      </c>
      <c r="Q116" s="190">
        <f t="shared" si="36"/>
        <v>8.1842433783274604</v>
      </c>
      <c r="R116" s="190">
        <f t="shared" si="36"/>
        <v>5.0477159533641736</v>
      </c>
      <c r="S116" s="190">
        <f t="shared" si="36"/>
        <v>-0.3549466949881932</v>
      </c>
      <c r="T116" s="191">
        <f t="shared" si="36"/>
        <v>0.55110301761397906</v>
      </c>
      <c r="U116" s="192">
        <f t="shared" si="36"/>
        <v>14.342450114747521</v>
      </c>
      <c r="W116" s="15" t="s">
        <v>12</v>
      </c>
      <c r="X116" s="193">
        <f t="shared" si="37"/>
        <v>-2.4737458247277747E-2</v>
      </c>
      <c r="Y116" s="194">
        <f t="shared" si="37"/>
        <v>-0.16121432094379221</v>
      </c>
      <c r="Z116" s="194">
        <f t="shared" si="37"/>
        <v>-8.163508036878504E-4</v>
      </c>
      <c r="AA116" s="194">
        <f t="shared" si="37"/>
        <v>0.35250017155950797</v>
      </c>
      <c r="AB116" s="194">
        <f t="shared" si="37"/>
        <v>0.52235566489548935</v>
      </c>
      <c r="AC116" s="194">
        <f t="shared" si="37"/>
        <v>0.32845876740367175</v>
      </c>
      <c r="AD116" s="194">
        <f t="shared" si="37"/>
        <v>-1.782669837698846E-2</v>
      </c>
      <c r="AE116" s="195">
        <f t="shared" si="37"/>
        <v>2.8791051740246352E-2</v>
      </c>
      <c r="AF116" s="196">
        <f t="shared" si="37"/>
        <v>8.651313189465662E-2</v>
      </c>
    </row>
    <row r="117" spans="1:32">
      <c r="A117" s="22" t="s">
        <v>13</v>
      </c>
      <c r="B117" s="23">
        <v>8.9653562407402507</v>
      </c>
      <c r="C117" s="92">
        <v>8.5817769964931454</v>
      </c>
      <c r="D117" s="92">
        <v>6.6871051736868532</v>
      </c>
      <c r="E117" s="92">
        <v>6.3162050040229012</v>
      </c>
      <c r="F117" s="92">
        <v>7.6265127192842739</v>
      </c>
      <c r="G117" s="92">
        <v>7.2393354394342699</v>
      </c>
      <c r="H117" s="92">
        <v>7.0916300525897942</v>
      </c>
      <c r="I117" s="93">
        <v>6.3522574240982808</v>
      </c>
      <c r="J117" s="24">
        <v>58.860179050349771</v>
      </c>
      <c r="K117" s="180"/>
      <c r="L117" s="22" t="s">
        <v>13</v>
      </c>
      <c r="M117" s="197">
        <f t="shared" si="36"/>
        <v>-2.9938929715937368</v>
      </c>
      <c r="N117" s="198">
        <f t="shared" si="36"/>
        <v>-0.47929914005444196</v>
      </c>
      <c r="O117" s="198">
        <f t="shared" si="36"/>
        <v>1.2489991300594676</v>
      </c>
      <c r="P117" s="198">
        <f t="shared" si="36"/>
        <v>-1.0203693225624821</v>
      </c>
      <c r="Q117" s="198">
        <f t="shared" si="36"/>
        <v>0.30521642071572597</v>
      </c>
      <c r="R117" s="198">
        <f t="shared" si="36"/>
        <v>2.3547589104157849</v>
      </c>
      <c r="S117" s="198">
        <f t="shared" si="36"/>
        <v>0.56490676445276833</v>
      </c>
      <c r="T117" s="199">
        <f t="shared" si="36"/>
        <v>2.6875539384097875</v>
      </c>
      <c r="U117" s="200">
        <f t="shared" si="36"/>
        <v>2.6678737298428743</v>
      </c>
      <c r="W117" s="22" t="s">
        <v>13</v>
      </c>
      <c r="X117" s="201">
        <f t="shared" si="37"/>
        <v>-0.33394021288177361</v>
      </c>
      <c r="Y117" s="202">
        <f t="shared" si="37"/>
        <v>-5.5850803423382195E-2</v>
      </c>
      <c r="Z117" s="202">
        <f t="shared" si="37"/>
        <v>0.18677725228162478</v>
      </c>
      <c r="AA117" s="202">
        <f t="shared" si="37"/>
        <v>-0.16154784746736231</v>
      </c>
      <c r="AB117" s="202">
        <f t="shared" si="37"/>
        <v>4.0020443412355527E-2</v>
      </c>
      <c r="AC117" s="202">
        <f t="shared" si="37"/>
        <v>0.32527280026131811</v>
      </c>
      <c r="AD117" s="202">
        <f t="shared" si="37"/>
        <v>7.9658239398214217E-2</v>
      </c>
      <c r="AE117" s="203">
        <f t="shared" si="37"/>
        <v>0.42308643352741526</v>
      </c>
      <c r="AF117" s="204">
        <f t="shared" si="37"/>
        <v>4.5325613562281895E-2</v>
      </c>
    </row>
    <row r="118" spans="1:32">
      <c r="A118" s="22" t="s">
        <v>14</v>
      </c>
      <c r="B118" s="23">
        <v>9.6674320252263914</v>
      </c>
      <c r="C118" s="99">
        <v>7.6964657372225629</v>
      </c>
      <c r="D118" s="99">
        <v>5.3458989850775849</v>
      </c>
      <c r="E118" s="99">
        <v>4.8375814125811383</v>
      </c>
      <c r="F118" s="99">
        <v>2.3896406520424058</v>
      </c>
      <c r="G118" s="99">
        <v>2.7674582320223289</v>
      </c>
      <c r="H118" s="99">
        <v>6.0323178134841946</v>
      </c>
      <c r="I118" s="100">
        <v>5.7678497410812399</v>
      </c>
      <c r="J118" s="24">
        <v>44.504644598737848</v>
      </c>
      <c r="K118" s="180"/>
      <c r="L118" s="22" t="s">
        <v>14</v>
      </c>
      <c r="M118" s="197">
        <f t="shared" si="36"/>
        <v>-3.9522223310639077</v>
      </c>
      <c r="N118" s="205">
        <f t="shared" si="36"/>
        <v>-2.0398322394104591</v>
      </c>
      <c r="O118" s="205">
        <f t="shared" si="36"/>
        <v>-0.23659233147969161</v>
      </c>
      <c r="P118" s="205">
        <f t="shared" si="36"/>
        <v>-0.59252446152404925</v>
      </c>
      <c r="Q118" s="205">
        <f t="shared" si="36"/>
        <v>-0.15533176204240595</v>
      </c>
      <c r="R118" s="205">
        <f t="shared" si="36"/>
        <v>2.5402525609495141</v>
      </c>
      <c r="S118" s="205">
        <f t="shared" si="36"/>
        <v>1.014655606325916</v>
      </c>
      <c r="T118" s="206">
        <f t="shared" si="36"/>
        <v>1.186387603104766</v>
      </c>
      <c r="U118" s="200">
        <f t="shared" si="36"/>
        <v>-2.235207355140318</v>
      </c>
      <c r="W118" s="22" t="s">
        <v>14</v>
      </c>
      <c r="X118" s="201">
        <f t="shared" si="37"/>
        <v>-0.4088182177801612</v>
      </c>
      <c r="Y118" s="207">
        <f t="shared" si="37"/>
        <v>-0.26503492759607566</v>
      </c>
      <c r="Z118" s="207">
        <f t="shared" si="37"/>
        <v>-4.4256790511775439E-2</v>
      </c>
      <c r="AA118" s="207">
        <f t="shared" si="37"/>
        <v>-0.12248361546599836</v>
      </c>
      <c r="AB118" s="207">
        <f t="shared" si="37"/>
        <v>-6.5002142439134186E-2</v>
      </c>
      <c r="AC118" s="207">
        <f t="shared" si="37"/>
        <v>0.9179009574764988</v>
      </c>
      <c r="AD118" s="207">
        <f t="shared" si="37"/>
        <v>0.16820327404796714</v>
      </c>
      <c r="AE118" s="208">
        <f t="shared" si="37"/>
        <v>0.20568975551751562</v>
      </c>
      <c r="AF118" s="204">
        <f t="shared" si="37"/>
        <v>-5.0224136723107514E-2</v>
      </c>
    </row>
    <row r="119" spans="1:32">
      <c r="A119" s="25" t="s">
        <v>15</v>
      </c>
      <c r="B119" s="26">
        <v>68.839090099385146</v>
      </c>
      <c r="C119" s="26">
        <v>67.036756518705971</v>
      </c>
      <c r="D119" s="103">
        <v>58.402208983933207</v>
      </c>
      <c r="E119" s="103">
        <v>56.050093001316711</v>
      </c>
      <c r="F119" s="103">
        <v>55.517233354606454</v>
      </c>
      <c r="G119" s="103">
        <v>53.402263593315396</v>
      </c>
      <c r="H119" s="103">
        <v>56.794248252967087</v>
      </c>
      <c r="I119" s="103">
        <v>59.032446939471129</v>
      </c>
      <c r="J119" s="26">
        <v>475.07434074370121</v>
      </c>
      <c r="K119" s="180"/>
      <c r="L119" s="25" t="s">
        <v>15</v>
      </c>
      <c r="M119" s="209">
        <f t="shared" si="36"/>
        <v>-13.118104830647653</v>
      </c>
      <c r="N119" s="62">
        <f t="shared" si="36"/>
        <v>-20.646167682446567</v>
      </c>
      <c r="O119" s="210">
        <f t="shared" si="36"/>
        <v>-6.670195549113231</v>
      </c>
      <c r="P119" s="210">
        <f t="shared" si="36"/>
        <v>-6.0460129920256236</v>
      </c>
      <c r="Q119" s="210">
        <f t="shared" si="36"/>
        <v>-6.022870247314053</v>
      </c>
      <c r="R119" s="210">
        <f t="shared" si="36"/>
        <v>-6.6471957000697728</v>
      </c>
      <c r="S119" s="210">
        <f t="shared" si="36"/>
        <v>-11.850927615286402</v>
      </c>
      <c r="T119" s="210">
        <f t="shared" si="36"/>
        <v>-12.774077381419062</v>
      </c>
      <c r="U119" s="209">
        <f t="shared" si="36"/>
        <v>-83.775551998322499</v>
      </c>
      <c r="W119" s="25" t="s">
        <v>15</v>
      </c>
      <c r="X119" s="211">
        <f t="shared" si="37"/>
        <v>-0.19056185681287527</v>
      </c>
      <c r="Y119" s="212">
        <f t="shared" si="37"/>
        <v>-0.30798279562773073</v>
      </c>
      <c r="Z119" s="213">
        <f t="shared" si="37"/>
        <v>-0.11421135715856641</v>
      </c>
      <c r="AA119" s="213">
        <f t="shared" si="37"/>
        <v>-0.10786802783509374</v>
      </c>
      <c r="AB119" s="213">
        <f t="shared" si="37"/>
        <v>-0.10848649839670577</v>
      </c>
      <c r="AC119" s="213">
        <f t="shared" si="37"/>
        <v>-0.124474043847494</v>
      </c>
      <c r="AD119" s="213">
        <f t="shared" si="37"/>
        <v>-0.20866422181523067</v>
      </c>
      <c r="AE119" s="213">
        <f t="shared" si="37"/>
        <v>-0.21639078242033491</v>
      </c>
      <c r="AF119" s="211">
        <f t="shared" si="37"/>
        <v>-0.1763419844295879</v>
      </c>
    </row>
    <row r="120" spans="1:32">
      <c r="A120" s="15" t="s">
        <v>16</v>
      </c>
      <c r="B120" s="108">
        <v>5.351213139006159</v>
      </c>
      <c r="C120" s="64">
        <v>1.2740983664300378</v>
      </c>
      <c r="D120" s="64">
        <v>1.7837377130020529</v>
      </c>
      <c r="E120" s="64">
        <v>1.2740983664300378</v>
      </c>
      <c r="F120" s="64">
        <v>3.1852459160750946</v>
      </c>
      <c r="G120" s="64">
        <v>2.5481967328600756</v>
      </c>
      <c r="H120" s="64">
        <v>1.5289180397160453</v>
      </c>
      <c r="I120" s="86">
        <v>1.6563278763590492</v>
      </c>
      <c r="J120" s="21">
        <v>18.601836149878551</v>
      </c>
      <c r="K120" s="180"/>
      <c r="L120" s="15" t="s">
        <v>16</v>
      </c>
      <c r="M120" s="181">
        <f t="shared" si="36"/>
        <v>65.118405198218468</v>
      </c>
      <c r="N120" s="182">
        <f t="shared" si="36"/>
        <v>62.115904533343539</v>
      </c>
      <c r="O120" s="182">
        <f t="shared" si="36"/>
        <v>58.54103487912203</v>
      </c>
      <c r="P120" s="182">
        <f t="shared" si="36"/>
        <v>59.590673612098506</v>
      </c>
      <c r="Q120" s="182">
        <f t="shared" si="36"/>
        <v>49.172680039094189</v>
      </c>
      <c r="R120" s="182">
        <f t="shared" si="36"/>
        <v>60.836771595731143</v>
      </c>
      <c r="S120" s="182">
        <f t="shared" si="36"/>
        <v>66.785662566616907</v>
      </c>
      <c r="T120" s="182">
        <f t="shared" si="36"/>
        <v>66.293626453207551</v>
      </c>
      <c r="U120" s="214">
        <f t="shared" si="36"/>
        <v>488.45475887743237</v>
      </c>
      <c r="W120" s="15" t="s">
        <v>16</v>
      </c>
      <c r="X120" s="185">
        <f t="shared" si="37"/>
        <v>12.168905163495772</v>
      </c>
      <c r="Y120" s="186">
        <f t="shared" si="37"/>
        <v>48.75283272467361</v>
      </c>
      <c r="Z120" s="186">
        <f t="shared" si="37"/>
        <v>32.819306589978822</v>
      </c>
      <c r="AA120" s="186">
        <f t="shared" si="37"/>
        <v>46.770857872668579</v>
      </c>
      <c r="AB120" s="186">
        <f t="shared" si="37"/>
        <v>15.437640086416144</v>
      </c>
      <c r="AC120" s="186">
        <f t="shared" si="37"/>
        <v>23.874440623526127</v>
      </c>
      <c r="AD120" s="186">
        <f t="shared" si="37"/>
        <v>43.681649919586611</v>
      </c>
      <c r="AE120" s="186">
        <f t="shared" si="37"/>
        <v>40.024458562476553</v>
      </c>
      <c r="AF120" s="215">
        <f t="shared" si="37"/>
        <v>26.258416370398006</v>
      </c>
    </row>
    <row r="121" spans="1:32">
      <c r="A121" s="15" t="s">
        <v>17</v>
      </c>
      <c r="B121" s="19">
        <v>0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86">
        <v>0</v>
      </c>
      <c r="J121" s="21">
        <v>0</v>
      </c>
      <c r="K121" s="180"/>
      <c r="L121" s="15" t="s">
        <v>17</v>
      </c>
      <c r="M121" s="189">
        <f t="shared" si="36"/>
        <v>6.5841376614669569</v>
      </c>
      <c r="N121" s="190">
        <f t="shared" si="36"/>
        <v>16.864652988304318</v>
      </c>
      <c r="O121" s="190">
        <f t="shared" si="36"/>
        <v>19.058798539808141</v>
      </c>
      <c r="P121" s="190">
        <f t="shared" si="36"/>
        <v>17.228041412146929</v>
      </c>
      <c r="Q121" s="190">
        <f t="shared" si="36"/>
        <v>13.694165793286556</v>
      </c>
      <c r="R121" s="190">
        <f t="shared" si="36"/>
        <v>10.212911344574026</v>
      </c>
      <c r="S121" s="190">
        <f t="shared" si="36"/>
        <v>9.3518143248586298</v>
      </c>
      <c r="T121" s="190">
        <f t="shared" si="36"/>
        <v>9.5646115203355855</v>
      </c>
      <c r="U121" s="216">
        <f t="shared" si="36"/>
        <v>102.55913358478115</v>
      </c>
      <c r="W121" s="15" t="s">
        <v>17</v>
      </c>
      <c r="X121" s="193" t="e">
        <f t="shared" si="37"/>
        <v>#DIV/0!</v>
      </c>
      <c r="Y121" s="194" t="e">
        <f t="shared" si="37"/>
        <v>#DIV/0!</v>
      </c>
      <c r="Z121" s="194" t="e">
        <f t="shared" si="37"/>
        <v>#DIV/0!</v>
      </c>
      <c r="AA121" s="194" t="e">
        <f t="shared" si="37"/>
        <v>#DIV/0!</v>
      </c>
      <c r="AB121" s="194" t="e">
        <f t="shared" si="37"/>
        <v>#DIV/0!</v>
      </c>
      <c r="AC121" s="194" t="e">
        <f t="shared" si="37"/>
        <v>#DIV/0!</v>
      </c>
      <c r="AD121" s="194" t="e">
        <f t="shared" si="37"/>
        <v>#DIV/0!</v>
      </c>
      <c r="AE121" s="194" t="e">
        <f t="shared" si="37"/>
        <v>#DIV/0!</v>
      </c>
      <c r="AF121" s="217" t="e">
        <f t="shared" si="37"/>
        <v>#DIV/0!</v>
      </c>
    </row>
    <row r="122" spans="1:32">
      <c r="A122" s="15" t="s">
        <v>51</v>
      </c>
      <c r="B122" s="19">
        <v>0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86">
        <v>0</v>
      </c>
      <c r="J122" s="21">
        <v>0</v>
      </c>
      <c r="K122" s="180"/>
      <c r="L122" s="15" t="s">
        <v>51</v>
      </c>
      <c r="M122" s="218">
        <f t="shared" si="36"/>
        <v>1.6523490470917448</v>
      </c>
      <c r="N122" s="219">
        <f t="shared" si="36"/>
        <v>2.6667485135565197</v>
      </c>
      <c r="O122" s="219">
        <f t="shared" si="36"/>
        <v>2.2481702956793521</v>
      </c>
      <c r="P122" s="219">
        <f t="shared" si="36"/>
        <v>1.948858822922956</v>
      </c>
      <c r="Q122" s="219">
        <f t="shared" si="36"/>
        <v>1.4542626050447596</v>
      </c>
      <c r="R122" s="219">
        <f t="shared" si="36"/>
        <v>1.4054062809531402</v>
      </c>
      <c r="S122" s="219">
        <f t="shared" si="36"/>
        <v>1.4192466405368005</v>
      </c>
      <c r="T122" s="219">
        <f t="shared" si="36"/>
        <v>1.4332007594114502</v>
      </c>
      <c r="U122" s="220">
        <f t="shared" si="36"/>
        <v>14.228242965196722</v>
      </c>
      <c r="W122" s="15" t="s">
        <v>51</v>
      </c>
      <c r="X122" s="221" t="e">
        <f t="shared" si="37"/>
        <v>#DIV/0!</v>
      </c>
      <c r="Y122" s="222" t="e">
        <f t="shared" si="37"/>
        <v>#DIV/0!</v>
      </c>
      <c r="Z122" s="222" t="e">
        <f t="shared" si="37"/>
        <v>#DIV/0!</v>
      </c>
      <c r="AA122" s="222" t="e">
        <f t="shared" si="37"/>
        <v>#DIV/0!</v>
      </c>
      <c r="AB122" s="222" t="e">
        <f t="shared" si="37"/>
        <v>#DIV/0!</v>
      </c>
      <c r="AC122" s="222" t="e">
        <f t="shared" si="37"/>
        <v>#DIV/0!</v>
      </c>
      <c r="AD122" s="222" t="e">
        <f t="shared" si="37"/>
        <v>#DIV/0!</v>
      </c>
      <c r="AE122" s="222" t="e">
        <f t="shared" si="37"/>
        <v>#DIV/0!</v>
      </c>
      <c r="AF122" s="223" t="e">
        <f t="shared" si="37"/>
        <v>#DIV/0!</v>
      </c>
    </row>
    <row r="123" spans="1:32">
      <c r="A123" s="25" t="s">
        <v>19</v>
      </c>
      <c r="B123" s="116">
        <v>105.35813975166275</v>
      </c>
      <c r="C123" s="3">
        <v>101.19470376338889</v>
      </c>
      <c r="D123" s="3">
        <v>102.01949162332231</v>
      </c>
      <c r="E123" s="3">
        <v>100.82820721652625</v>
      </c>
      <c r="F123" s="3">
        <v>104.06339284233303</v>
      </c>
      <c r="G123" s="3">
        <v>103.35857136504744</v>
      </c>
      <c r="H123" s="3">
        <v>102.26515722348704</v>
      </c>
      <c r="I123" s="117">
        <v>100.7105667843871</v>
      </c>
      <c r="J123" s="118">
        <v>819.79823057015483</v>
      </c>
      <c r="K123" s="180"/>
      <c r="L123" s="25" t="s">
        <v>19</v>
      </c>
      <c r="M123" s="209">
        <f t="shared" si="36"/>
        <v>-26.652034705879416</v>
      </c>
      <c r="N123" s="210">
        <f t="shared" si="36"/>
        <v>-18.273299361754482</v>
      </c>
      <c r="O123" s="209">
        <f t="shared" si="36"/>
        <v>-20.387750195710723</v>
      </c>
      <c r="P123" s="63">
        <f t="shared" si="36"/>
        <v>-20.78653500292782</v>
      </c>
      <c r="Q123" s="209">
        <f t="shared" si="36"/>
        <v>-36.557038488832433</v>
      </c>
      <c r="R123" s="209">
        <f t="shared" si="36"/>
        <v>-28.355285410929042</v>
      </c>
      <c r="S123" s="209">
        <f t="shared" si="36"/>
        <v>-23.179515651758663</v>
      </c>
      <c r="T123" s="209">
        <f t="shared" si="36"/>
        <v>-21.762800175073465</v>
      </c>
      <c r="U123" s="210">
        <f t="shared" si="36"/>
        <v>-195.95425899286613</v>
      </c>
      <c r="W123" s="25" t="s">
        <v>19</v>
      </c>
      <c r="X123" s="211">
        <f t="shared" si="37"/>
        <v>-0.25296607142742189</v>
      </c>
      <c r="Y123" s="213">
        <f t="shared" si="37"/>
        <v>-0.18057564953676516</v>
      </c>
      <c r="Z123" s="211">
        <f t="shared" si="37"/>
        <v>-0.19984171525757685</v>
      </c>
      <c r="AA123" s="224">
        <f t="shared" si="37"/>
        <v>-0.20615793513306466</v>
      </c>
      <c r="AB123" s="211">
        <f t="shared" si="37"/>
        <v>-0.35129585428970383</v>
      </c>
      <c r="AC123" s="211">
        <f t="shared" si="37"/>
        <v>-0.27433898356414294</v>
      </c>
      <c r="AD123" s="211">
        <f t="shared" si="37"/>
        <v>-0.2266609300869003</v>
      </c>
      <c r="AE123" s="211">
        <f t="shared" si="37"/>
        <v>-0.21609252007950466</v>
      </c>
      <c r="AF123" s="213">
        <f t="shared" si="37"/>
        <v>-0.23902742368275604</v>
      </c>
    </row>
    <row r="124" spans="1:32">
      <c r="A124" s="32" t="s">
        <v>20</v>
      </c>
      <c r="B124" s="19">
        <v>24.302657587474389</v>
      </c>
      <c r="C124" s="64">
        <v>24.437625725283471</v>
      </c>
      <c r="D124" s="64">
        <v>26.831880473723654</v>
      </c>
      <c r="E124" s="64">
        <v>25.387475639668764</v>
      </c>
      <c r="F124" s="64">
        <v>24.233753988258076</v>
      </c>
      <c r="G124" s="64">
        <v>25.504084736803527</v>
      </c>
      <c r="H124" s="64">
        <v>25.847407607008957</v>
      </c>
      <c r="I124" s="86">
        <v>23.662972279421375</v>
      </c>
      <c r="J124" s="21">
        <v>200.20785803764218</v>
      </c>
      <c r="K124" s="180"/>
      <c r="L124" s="32" t="s">
        <v>20</v>
      </c>
      <c r="M124" s="62">
        <f t="shared" si="36"/>
        <v>0.48800428778535121</v>
      </c>
      <c r="N124" s="182">
        <f t="shared" si="36"/>
        <v>-2.7410735109145854</v>
      </c>
      <c r="O124" s="182">
        <f t="shared" si="36"/>
        <v>-4.9925924094479655</v>
      </c>
      <c r="P124" s="182">
        <f t="shared" si="36"/>
        <v>-4.7569034051633885</v>
      </c>
      <c r="Q124" s="182">
        <f t="shared" si="36"/>
        <v>-4.515400961526062</v>
      </c>
      <c r="R124" s="182">
        <f t="shared" si="36"/>
        <v>-4.3463240728881196</v>
      </c>
      <c r="S124" s="182">
        <f t="shared" si="36"/>
        <v>-3.8345028962247021</v>
      </c>
      <c r="T124" s="182">
        <f t="shared" si="36"/>
        <v>-0.36464178209667608</v>
      </c>
      <c r="U124" s="225">
        <f t="shared" si="36"/>
        <v>-25.063434750476091</v>
      </c>
      <c r="W124" s="32" t="s">
        <v>20</v>
      </c>
      <c r="X124" s="212">
        <f t="shared" si="37"/>
        <v>2.0080284883611618E-2</v>
      </c>
      <c r="Y124" s="186">
        <f t="shared" si="37"/>
        <v>-0.11216611391501248</v>
      </c>
      <c r="Z124" s="186">
        <f t="shared" si="37"/>
        <v>-0.1860694189636537</v>
      </c>
      <c r="AA124" s="186">
        <f t="shared" si="37"/>
        <v>-0.18737205197867607</v>
      </c>
      <c r="AB124" s="186">
        <f t="shared" si="37"/>
        <v>-0.18632692911357845</v>
      </c>
      <c r="AC124" s="186">
        <f t="shared" si="37"/>
        <v>-0.17041678294834792</v>
      </c>
      <c r="AD124" s="186">
        <f t="shared" si="37"/>
        <v>-0.14835154668218689</v>
      </c>
      <c r="AE124" s="186">
        <f t="shared" si="37"/>
        <v>-1.5409804727438602E-2</v>
      </c>
      <c r="AF124" s="226">
        <f t="shared" si="37"/>
        <v>-0.12518706806085392</v>
      </c>
    </row>
    <row r="125" spans="1:32">
      <c r="A125" s="32" t="s">
        <v>21</v>
      </c>
      <c r="B125" s="19">
        <v>16.763595396256029</v>
      </c>
      <c r="C125" s="64">
        <v>16.672882844341608</v>
      </c>
      <c r="D125" s="64">
        <v>16.868922460883432</v>
      </c>
      <c r="E125" s="64">
        <v>17.059674701853016</v>
      </c>
      <c r="F125" s="64">
        <v>16.943670542703771</v>
      </c>
      <c r="G125" s="64">
        <v>16.889874895595142</v>
      </c>
      <c r="H125" s="64">
        <v>16.800598522239241</v>
      </c>
      <c r="I125" s="86">
        <v>17.493995731202372</v>
      </c>
      <c r="J125" s="21">
        <v>135.49321509507462</v>
      </c>
      <c r="K125" s="180"/>
      <c r="L125" s="32" t="s">
        <v>21</v>
      </c>
      <c r="M125" s="189">
        <f t="shared" si="36"/>
        <v>-6.0484128827341461</v>
      </c>
      <c r="N125" s="190">
        <f t="shared" si="36"/>
        <v>-5.6290320263661542</v>
      </c>
      <c r="O125" s="190">
        <f t="shared" si="36"/>
        <v>-7.4081232842087967</v>
      </c>
      <c r="P125" s="190">
        <f t="shared" si="36"/>
        <v>-7.0182485714837419</v>
      </c>
      <c r="Q125" s="190">
        <f t="shared" si="36"/>
        <v>-7.0252212775723208</v>
      </c>
      <c r="R125" s="190">
        <f t="shared" si="36"/>
        <v>-7.6314886872095293</v>
      </c>
      <c r="S125" s="190">
        <f t="shared" si="36"/>
        <v>-7.6030177404092445</v>
      </c>
      <c r="T125" s="190">
        <f t="shared" si="36"/>
        <v>-7.9880876838852721</v>
      </c>
      <c r="U125" s="225">
        <f t="shared" si="36"/>
        <v>-56.351632153869218</v>
      </c>
      <c r="W125" s="32" t="s">
        <v>21</v>
      </c>
      <c r="X125" s="193">
        <f t="shared" si="37"/>
        <v>-0.36080642247456024</v>
      </c>
      <c r="Y125" s="194">
        <f t="shared" si="37"/>
        <v>-0.33761600071918685</v>
      </c>
      <c r="Z125" s="194">
        <f t="shared" si="37"/>
        <v>-0.43915806130398388</v>
      </c>
      <c r="AA125" s="194">
        <f t="shared" si="37"/>
        <v>-0.41139404438476324</v>
      </c>
      <c r="AB125" s="194">
        <f t="shared" si="37"/>
        <v>-0.41462215993083618</v>
      </c>
      <c r="AC125" s="194">
        <f t="shared" si="37"/>
        <v>-0.45183808254256591</v>
      </c>
      <c r="AD125" s="194">
        <f t="shared" si="37"/>
        <v>-0.45254445729091136</v>
      </c>
      <c r="AE125" s="194">
        <f t="shared" si="37"/>
        <v>-0.45661881977241381</v>
      </c>
      <c r="AF125" s="226">
        <f t="shared" si="37"/>
        <v>-0.41590002949097993</v>
      </c>
    </row>
    <row r="126" spans="1:32">
      <c r="A126" s="32" t="s">
        <v>22</v>
      </c>
      <c r="B126" s="19">
        <v>14.758461340137863</v>
      </c>
      <c r="C126" s="64">
        <v>14.437582639398425</v>
      </c>
      <c r="D126" s="64">
        <v>14.17105317187904</v>
      </c>
      <c r="E126" s="64">
        <v>13.927166431146079</v>
      </c>
      <c r="F126" s="64">
        <v>13.677540595233513</v>
      </c>
      <c r="G126" s="64">
        <v>13.559610138652021</v>
      </c>
      <c r="H126" s="64">
        <v>13.279999948231003</v>
      </c>
      <c r="I126" s="86">
        <v>13.039553004774447</v>
      </c>
      <c r="J126" s="21">
        <v>110.8509672694524</v>
      </c>
      <c r="K126" s="180"/>
      <c r="L126" s="32" t="s">
        <v>22</v>
      </c>
      <c r="M126" s="189">
        <f t="shared" si="36"/>
        <v>-4.254784722182535</v>
      </c>
      <c r="N126" s="190">
        <f t="shared" si="36"/>
        <v>-3.858284595369728</v>
      </c>
      <c r="O126" s="190">
        <f t="shared" si="36"/>
        <v>-5.1994725508622199</v>
      </c>
      <c r="P126" s="190">
        <f t="shared" si="36"/>
        <v>-3.7013911450588086</v>
      </c>
      <c r="Q126" s="190">
        <f t="shared" si="36"/>
        <v>-5.8085860612027513</v>
      </c>
      <c r="R126" s="190">
        <f t="shared" si="36"/>
        <v>-4.648942273410432</v>
      </c>
      <c r="S126" s="190">
        <f t="shared" si="36"/>
        <v>-4.4278538327032777</v>
      </c>
      <c r="T126" s="190">
        <f t="shared" si="36"/>
        <v>-3.8906595085784428</v>
      </c>
      <c r="U126" s="225">
        <f t="shared" si="36"/>
        <v>-35.789974689368194</v>
      </c>
      <c r="W126" s="32" t="s">
        <v>22</v>
      </c>
      <c r="X126" s="193">
        <f t="shared" si="37"/>
        <v>-0.28829460091554432</v>
      </c>
      <c r="Y126" s="194">
        <f t="shared" si="37"/>
        <v>-0.26723896179412571</v>
      </c>
      <c r="Z126" s="194">
        <f t="shared" si="37"/>
        <v>-0.36690798402902225</v>
      </c>
      <c r="AA126" s="194">
        <f t="shared" si="37"/>
        <v>-0.26576771113908615</v>
      </c>
      <c r="AB126" s="194">
        <f t="shared" si="37"/>
        <v>-0.4246805937631058</v>
      </c>
      <c r="AC126" s="194">
        <f t="shared" si="37"/>
        <v>-0.34285220783439058</v>
      </c>
      <c r="AD126" s="194">
        <f t="shared" si="37"/>
        <v>-0.3334227296659818</v>
      </c>
      <c r="AE126" s="194">
        <f t="shared" si="37"/>
        <v>-0.29837368713128998</v>
      </c>
      <c r="AF126" s="226">
        <f t="shared" si="37"/>
        <v>-0.32286569590657027</v>
      </c>
    </row>
    <row r="127" spans="1:32">
      <c r="A127" s="32" t="s">
        <v>23</v>
      </c>
      <c r="B127" s="19">
        <v>13.289370925586383</v>
      </c>
      <c r="C127" s="64">
        <v>13.46466828163793</v>
      </c>
      <c r="D127" s="64">
        <v>13.691512760871349</v>
      </c>
      <c r="E127" s="64">
        <v>13.970220163873108</v>
      </c>
      <c r="F127" s="64">
        <v>13.813201346692864</v>
      </c>
      <c r="G127" s="64">
        <v>13.838720184573685</v>
      </c>
      <c r="H127" s="64">
        <v>13.688514563768935</v>
      </c>
      <c r="I127" s="86">
        <v>13.705182162982751</v>
      </c>
      <c r="J127" s="21">
        <v>109.46139038998702</v>
      </c>
      <c r="K127" s="180"/>
      <c r="L127" s="32" t="s">
        <v>23</v>
      </c>
      <c r="M127" s="189">
        <f t="shared" si="36"/>
        <v>2.1731097538443258</v>
      </c>
      <c r="N127" s="190">
        <f t="shared" si="36"/>
        <v>5.5975932805771116</v>
      </c>
      <c r="O127" s="190">
        <f t="shared" si="36"/>
        <v>4.3488557380479644</v>
      </c>
      <c r="P127" s="190">
        <f t="shared" si="36"/>
        <v>4.4049484540630104</v>
      </c>
      <c r="Q127" s="190">
        <f t="shared" si="36"/>
        <v>1.5931061891373339</v>
      </c>
      <c r="R127" s="190">
        <f t="shared" si="36"/>
        <v>2.3688169595802613</v>
      </c>
      <c r="S127" s="190">
        <f t="shared" si="36"/>
        <v>2.4687830360547682</v>
      </c>
      <c r="T127" s="190">
        <f t="shared" si="36"/>
        <v>2.8327939065129293</v>
      </c>
      <c r="U127" s="225">
        <f t="shared" si="36"/>
        <v>25.788007317817701</v>
      </c>
      <c r="W127" s="32" t="s">
        <v>23</v>
      </c>
      <c r="X127" s="193">
        <f t="shared" si="37"/>
        <v>0.16352239440170785</v>
      </c>
      <c r="Y127" s="194">
        <f t="shared" si="37"/>
        <v>0.41572455878550496</v>
      </c>
      <c r="Z127" s="194">
        <f t="shared" si="37"/>
        <v>0.31763150018575426</v>
      </c>
      <c r="AA127" s="194">
        <f t="shared" si="37"/>
        <v>0.31530988076008826</v>
      </c>
      <c r="AB127" s="194">
        <f t="shared" si="37"/>
        <v>0.11533214851159417</v>
      </c>
      <c r="AC127" s="194">
        <f t="shared" si="37"/>
        <v>0.17117312352487854</v>
      </c>
      <c r="AD127" s="194">
        <f t="shared" si="37"/>
        <v>0.18035434192320604</v>
      </c>
      <c r="AE127" s="194">
        <f t="shared" si="37"/>
        <v>0.20669509334682271</v>
      </c>
      <c r="AF127" s="226">
        <f t="shared" si="37"/>
        <v>0.23558998497955003</v>
      </c>
    </row>
    <row r="128" spans="1:32">
      <c r="A128" s="32" t="s">
        <v>24</v>
      </c>
      <c r="B128" s="19">
        <v>0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86">
        <v>0</v>
      </c>
      <c r="J128" s="21">
        <v>0</v>
      </c>
      <c r="K128" s="180"/>
      <c r="L128" s="32" t="s">
        <v>24</v>
      </c>
      <c r="M128" s="189">
        <f t="shared" si="36"/>
        <v>0</v>
      </c>
      <c r="N128" s="190">
        <f t="shared" si="36"/>
        <v>0</v>
      </c>
      <c r="O128" s="190">
        <f t="shared" si="36"/>
        <v>0</v>
      </c>
      <c r="P128" s="190">
        <f t="shared" si="36"/>
        <v>0</v>
      </c>
      <c r="Q128" s="190">
        <f t="shared" si="36"/>
        <v>0</v>
      </c>
      <c r="R128" s="190">
        <f t="shared" si="36"/>
        <v>0</v>
      </c>
      <c r="S128" s="190">
        <f t="shared" si="36"/>
        <v>0</v>
      </c>
      <c r="T128" s="190">
        <f t="shared" si="36"/>
        <v>0</v>
      </c>
      <c r="U128" s="225">
        <f t="shared" si="36"/>
        <v>0</v>
      </c>
      <c r="W128" s="32" t="s">
        <v>24</v>
      </c>
      <c r="X128" s="193" t="e">
        <f t="shared" si="37"/>
        <v>#DIV/0!</v>
      </c>
      <c r="Y128" s="194" t="e">
        <f t="shared" si="37"/>
        <v>#DIV/0!</v>
      </c>
      <c r="Z128" s="194" t="e">
        <f t="shared" si="37"/>
        <v>#DIV/0!</v>
      </c>
      <c r="AA128" s="194" t="e">
        <f t="shared" si="37"/>
        <v>#DIV/0!</v>
      </c>
      <c r="AB128" s="194" t="e">
        <f t="shared" si="37"/>
        <v>#DIV/0!</v>
      </c>
      <c r="AC128" s="194" t="e">
        <f t="shared" si="37"/>
        <v>#DIV/0!</v>
      </c>
      <c r="AD128" s="194" t="e">
        <f t="shared" si="37"/>
        <v>#DIV/0!</v>
      </c>
      <c r="AE128" s="194" t="e">
        <f t="shared" si="37"/>
        <v>#DIV/0!</v>
      </c>
      <c r="AF128" s="226" t="e">
        <f t="shared" si="37"/>
        <v>#DIV/0!</v>
      </c>
    </row>
    <row r="129" spans="1:32">
      <c r="A129" s="32" t="s">
        <v>25</v>
      </c>
      <c r="B129" s="19">
        <v>9.8256022567375823</v>
      </c>
      <c r="C129" s="64">
        <v>8.8703338668789673</v>
      </c>
      <c r="D129" s="64">
        <v>9.6368619591507141</v>
      </c>
      <c r="E129" s="64">
        <v>10.214147865402653</v>
      </c>
      <c r="F129" s="64">
        <v>7.0481970665491067</v>
      </c>
      <c r="G129" s="64">
        <v>6.5058332229890921</v>
      </c>
      <c r="H129" s="64">
        <v>5.9362112040756632</v>
      </c>
      <c r="I129" s="86">
        <v>5.2625690688311355</v>
      </c>
      <c r="J129" s="21">
        <v>63.29975651061492</v>
      </c>
      <c r="K129" s="180"/>
      <c r="L129" s="32" t="s">
        <v>25</v>
      </c>
      <c r="M129" s="189">
        <f t="shared" si="36"/>
        <v>11.07409334497417</v>
      </c>
      <c r="N129" s="190">
        <f t="shared" si="36"/>
        <v>5.818773522513343</v>
      </c>
      <c r="O129" s="190">
        <f t="shared" si="36"/>
        <v>-2.3509121626636951</v>
      </c>
      <c r="P129" s="190">
        <f t="shared" si="36"/>
        <v>-3.1736320614892728</v>
      </c>
      <c r="Q129" s="190">
        <f t="shared" si="36"/>
        <v>-9.4069275445103351E-2</v>
      </c>
      <c r="R129" s="190">
        <f t="shared" si="36"/>
        <v>-0.98354779817325522</v>
      </c>
      <c r="S129" s="190">
        <f t="shared" si="36"/>
        <v>-0.21390160180476059</v>
      </c>
      <c r="T129" s="190">
        <f t="shared" si="36"/>
        <v>0.94754391532367599</v>
      </c>
      <c r="U129" s="225">
        <f t="shared" si="36"/>
        <v>11.024347883235087</v>
      </c>
      <c r="W129" s="32" t="s">
        <v>25</v>
      </c>
      <c r="X129" s="193">
        <f t="shared" si="37"/>
        <v>1.1270650954123933</v>
      </c>
      <c r="Y129" s="194">
        <f t="shared" si="37"/>
        <v>0.65598134296163557</v>
      </c>
      <c r="Z129" s="194">
        <f t="shared" si="37"/>
        <v>-0.24394996759618193</v>
      </c>
      <c r="AA129" s="194">
        <f t="shared" si="37"/>
        <v>-0.31070943002881274</v>
      </c>
      <c r="AB129" s="194">
        <f t="shared" si="37"/>
        <v>-1.3346572826625143E-2</v>
      </c>
      <c r="AC129" s="194">
        <f t="shared" si="37"/>
        <v>-0.15117937464147999</v>
      </c>
      <c r="AD129" s="194">
        <f t="shared" si="37"/>
        <v>-3.6033354348629101E-2</v>
      </c>
      <c r="AE129" s="194">
        <f t="shared" si="37"/>
        <v>0.1800534877415175</v>
      </c>
      <c r="AF129" s="226">
        <f t="shared" si="37"/>
        <v>0.17416098403769345</v>
      </c>
    </row>
    <row r="130" spans="1:32">
      <c r="A130" s="22" t="s">
        <v>57</v>
      </c>
      <c r="B130" s="23">
        <v>5.414918057327661</v>
      </c>
      <c r="C130" s="99">
        <v>5.2531075647910459</v>
      </c>
      <c r="D130" s="99">
        <v>5.9372983875639767</v>
      </c>
      <c r="E130" s="99">
        <v>6.6886563356872726</v>
      </c>
      <c r="F130" s="99">
        <v>3.5404979459140482</v>
      </c>
      <c r="G130" s="99">
        <v>2.9549390393419315</v>
      </c>
      <c r="H130" s="99">
        <v>2.371111236284249</v>
      </c>
      <c r="I130" s="100">
        <v>1.7432439126270913</v>
      </c>
      <c r="J130" s="24">
        <v>33.903772479537281</v>
      </c>
      <c r="K130" s="180"/>
      <c r="L130" s="22" t="s">
        <v>57</v>
      </c>
      <c r="M130" s="197">
        <f t="shared" si="36"/>
        <v>-0.99267089584556789</v>
      </c>
      <c r="N130" s="205">
        <f t="shared" si="36"/>
        <v>-0.71717829357353846</v>
      </c>
      <c r="O130" s="205">
        <f t="shared" si="36"/>
        <v>-1.5860988674447931</v>
      </c>
      <c r="P130" s="205">
        <f t="shared" si="36"/>
        <v>-2.8361878378760172</v>
      </c>
      <c r="Q130" s="205">
        <f t="shared" si="36"/>
        <v>-0.20349965591404828</v>
      </c>
      <c r="R130" s="205">
        <f t="shared" si="36"/>
        <v>-0.22751797674193197</v>
      </c>
      <c r="S130" s="205">
        <f t="shared" si="36"/>
        <v>0.35630982631575092</v>
      </c>
      <c r="T130" s="205">
        <f t="shared" si="36"/>
        <v>0.98417714997290906</v>
      </c>
      <c r="U130" s="227">
        <f t="shared" si="36"/>
        <v>-5.2226665511072383</v>
      </c>
      <c r="W130" s="22" t="s">
        <v>57</v>
      </c>
      <c r="X130" s="201">
        <f t="shared" si="37"/>
        <v>-0.18332149911340764</v>
      </c>
      <c r="Y130" s="207">
        <f t="shared" si="37"/>
        <v>-0.13652457801938533</v>
      </c>
      <c r="Z130" s="207">
        <f t="shared" si="37"/>
        <v>-0.26714151183086421</v>
      </c>
      <c r="AA130" s="207">
        <f t="shared" si="37"/>
        <v>-0.42402953531093529</v>
      </c>
      <c r="AB130" s="207">
        <f t="shared" si="37"/>
        <v>-5.7477693539943829E-2</v>
      </c>
      <c r="AC130" s="207">
        <f t="shared" si="37"/>
        <v>-7.6995827566243291E-2</v>
      </c>
      <c r="AD130" s="207">
        <f t="shared" si="37"/>
        <v>0.15027124027893413</v>
      </c>
      <c r="AE130" s="207">
        <f t="shared" si="37"/>
        <v>0.56456652040719946</v>
      </c>
      <c r="AF130" s="228">
        <f t="shared" si="37"/>
        <v>-0.15404381781583137</v>
      </c>
    </row>
    <row r="131" spans="1:32">
      <c r="A131" s="36" t="s">
        <v>27</v>
      </c>
      <c r="B131" s="26">
        <v>78.939687506192243</v>
      </c>
      <c r="C131" s="26">
        <v>77.883093357540389</v>
      </c>
      <c r="D131" s="103">
        <v>81.200230826508189</v>
      </c>
      <c r="E131" s="103">
        <v>80.558684801943627</v>
      </c>
      <c r="F131" s="103">
        <v>75.716363539437324</v>
      </c>
      <c r="G131" s="103">
        <v>76.298123178613466</v>
      </c>
      <c r="H131" s="103">
        <v>75.552731845323791</v>
      </c>
      <c r="I131" s="103">
        <v>73.164272247212082</v>
      </c>
      <c r="J131" s="26">
        <v>619.31318730277121</v>
      </c>
      <c r="K131" s="180"/>
      <c r="L131" s="36" t="s">
        <v>27</v>
      </c>
      <c r="M131" s="229">
        <f t="shared" si="36"/>
        <v>3.4320097816871709</v>
      </c>
      <c r="N131" s="230">
        <f t="shared" si="36"/>
        <v>-0.81202332956000589</v>
      </c>
      <c r="O131" s="229">
        <f t="shared" si="36"/>
        <v>-15.602244669134706</v>
      </c>
      <c r="P131" s="231">
        <f t="shared" si="36"/>
        <v>-14.245226729132199</v>
      </c>
      <c r="Q131" s="229">
        <f t="shared" si="36"/>
        <v>-15.850171386608906</v>
      </c>
      <c r="R131" s="229">
        <f t="shared" si="36"/>
        <v>-15.24148587210108</v>
      </c>
      <c r="S131" s="229">
        <f t="shared" si="36"/>
        <v>-13.61049303508721</v>
      </c>
      <c r="T131" s="229">
        <f t="shared" si="36"/>
        <v>-8.4630511527237928</v>
      </c>
      <c r="U131" s="229">
        <f t="shared" si="36"/>
        <v>-80.392686392660835</v>
      </c>
      <c r="W131" s="36" t="s">
        <v>27</v>
      </c>
      <c r="X131" s="232">
        <f t="shared" si="37"/>
        <v>4.3476353784881079E-2</v>
      </c>
      <c r="Y131" s="233">
        <f t="shared" si="37"/>
        <v>-1.042618230162257E-2</v>
      </c>
      <c r="Z131" s="232">
        <f t="shared" si="37"/>
        <v>-0.1921453240997596</v>
      </c>
      <c r="AA131" s="234">
        <f t="shared" si="37"/>
        <v>-0.17683042820466338</v>
      </c>
      <c r="AB131" s="232">
        <f t="shared" si="37"/>
        <v>-0.20933614143200696</v>
      </c>
      <c r="AC131" s="232">
        <f t="shared" si="37"/>
        <v>-0.19976226461587857</v>
      </c>
      <c r="AD131" s="232">
        <f t="shared" si="37"/>
        <v>-0.18014561092180559</v>
      </c>
      <c r="AE131" s="232">
        <f t="shared" si="37"/>
        <v>-0.11567191052113932</v>
      </c>
      <c r="AF131" s="232">
        <f t="shared" si="37"/>
        <v>-0.1298094212118856</v>
      </c>
    </row>
    <row r="132" spans="1:32">
      <c r="A132" s="32" t="s">
        <v>28</v>
      </c>
      <c r="B132" s="19">
        <v>24.236424432321016</v>
      </c>
      <c r="C132" s="64">
        <v>24.423173652694956</v>
      </c>
      <c r="D132" s="64">
        <v>24.661032859730401</v>
      </c>
      <c r="E132" s="64">
        <v>25.355929042644007</v>
      </c>
      <c r="F132" s="64">
        <v>25.388566480399543</v>
      </c>
      <c r="G132" s="64">
        <v>25.557964572012924</v>
      </c>
      <c r="H132" s="64">
        <v>25.69506951017739</v>
      </c>
      <c r="I132" s="86">
        <v>25.449599547590918</v>
      </c>
      <c r="J132" s="21">
        <v>200.76776009757114</v>
      </c>
      <c r="K132" s="180"/>
      <c r="L132" s="32" t="s">
        <v>28</v>
      </c>
      <c r="M132" s="235">
        <f t="shared" si="36"/>
        <v>-6.6906419699700628</v>
      </c>
      <c r="N132" s="182">
        <f t="shared" si="36"/>
        <v>-7.3461712112855793</v>
      </c>
      <c r="O132" s="182">
        <f t="shared" si="36"/>
        <v>-4.9878186599404337</v>
      </c>
      <c r="P132" s="182">
        <f t="shared" si="36"/>
        <v>-5.7816151082019687</v>
      </c>
      <c r="Q132" s="182">
        <f t="shared" si="36"/>
        <v>-10.97121583054348</v>
      </c>
      <c r="R132" s="182">
        <f t="shared" si="36"/>
        <v>0.48247020097936044</v>
      </c>
      <c r="S132" s="182">
        <f t="shared" si="36"/>
        <v>0.64246080931034655</v>
      </c>
      <c r="T132" s="182">
        <f t="shared" si="36"/>
        <v>0.6770583577813305</v>
      </c>
      <c r="U132" s="236">
        <f t="shared" si="36"/>
        <v>-33.975473411870496</v>
      </c>
      <c r="W132" s="32" t="s">
        <v>28</v>
      </c>
      <c r="X132" s="193">
        <f t="shared" si="37"/>
        <v>-0.2760573032814036</v>
      </c>
      <c r="Y132" s="186">
        <f t="shared" si="37"/>
        <v>-0.30078692129656837</v>
      </c>
      <c r="Z132" s="186">
        <f t="shared" si="37"/>
        <v>-0.20225505915793024</v>
      </c>
      <c r="AA132" s="186">
        <f t="shared" si="37"/>
        <v>-0.22801827132732372</v>
      </c>
      <c r="AB132" s="186">
        <f t="shared" si="37"/>
        <v>-0.43213215047070375</v>
      </c>
      <c r="AC132" s="186">
        <f t="shared" si="37"/>
        <v>1.8877489231191993E-2</v>
      </c>
      <c r="AD132" s="186">
        <f t="shared" si="37"/>
        <v>2.5003271894472927E-2</v>
      </c>
      <c r="AE132" s="186">
        <f t="shared" si="37"/>
        <v>2.6603890427243343E-2</v>
      </c>
      <c r="AF132" s="226">
        <f t="shared" si="37"/>
        <v>-0.16922773554558138</v>
      </c>
    </row>
    <row r="133" spans="1:32">
      <c r="A133" s="32" t="s">
        <v>29</v>
      </c>
      <c r="B133" s="19">
        <v>4.1407925085990378</v>
      </c>
      <c r="C133" s="64">
        <v>4.3286168527969506</v>
      </c>
      <c r="D133" s="64">
        <v>4.7114313395883682</v>
      </c>
      <c r="E133" s="64">
        <v>4.7494901612070484</v>
      </c>
      <c r="F133" s="64">
        <v>5.0018418989374984</v>
      </c>
      <c r="G133" s="64">
        <v>4.8173902070124983</v>
      </c>
      <c r="H133" s="64">
        <v>4.8234979146852197</v>
      </c>
      <c r="I133" s="86">
        <v>4.8632942321101709</v>
      </c>
      <c r="J133" s="21">
        <v>37.436355114936795</v>
      </c>
      <c r="K133" s="180"/>
      <c r="L133" s="32" t="s">
        <v>29</v>
      </c>
      <c r="M133" s="235">
        <f t="shared" si="36"/>
        <v>-2.0686463741674204</v>
      </c>
      <c r="N133" s="190">
        <f t="shared" si="36"/>
        <v>-2.4118927866485738</v>
      </c>
      <c r="O133" s="190">
        <f t="shared" si="36"/>
        <v>-1.9944810585310919</v>
      </c>
      <c r="P133" s="190">
        <f t="shared" si="36"/>
        <v>-1.3904684202896509</v>
      </c>
      <c r="Q133" s="190">
        <f t="shared" si="36"/>
        <v>-1.3890627413985004</v>
      </c>
      <c r="R133" s="190">
        <f t="shared" si="36"/>
        <v>-1.4530852309403297</v>
      </c>
      <c r="S133" s="190">
        <f t="shared" si="36"/>
        <v>-0.84751528610150606</v>
      </c>
      <c r="T133" s="190">
        <f t="shared" si="36"/>
        <v>-0.83129708108673039</v>
      </c>
      <c r="U133" s="236">
        <f t="shared" si="36"/>
        <v>-12.386448979163806</v>
      </c>
      <c r="W133" s="32" t="s">
        <v>29</v>
      </c>
      <c r="X133" s="193">
        <f t="shared" si="37"/>
        <v>-0.49957740453585525</v>
      </c>
      <c r="Y133" s="194">
        <f t="shared" si="37"/>
        <v>-0.55719710675943079</v>
      </c>
      <c r="Z133" s="194">
        <f t="shared" si="37"/>
        <v>-0.42332805357306708</v>
      </c>
      <c r="AA133" s="194">
        <f t="shared" si="37"/>
        <v>-0.29276161716192994</v>
      </c>
      <c r="AB133" s="194">
        <f t="shared" si="37"/>
        <v>-0.27771024543849898</v>
      </c>
      <c r="AC133" s="194">
        <f t="shared" si="37"/>
        <v>-0.3016332845168172</v>
      </c>
      <c r="AD133" s="194">
        <f t="shared" si="37"/>
        <v>-0.17570553591849428</v>
      </c>
      <c r="AE133" s="194">
        <f t="shared" si="37"/>
        <v>-0.17093291941870289</v>
      </c>
      <c r="AF133" s="226">
        <f t="shared" si="37"/>
        <v>-0.3308668523186894</v>
      </c>
    </row>
    <row r="134" spans="1:32">
      <c r="A134" s="40" t="s">
        <v>30</v>
      </c>
      <c r="B134" s="19">
        <v>28.37721694092005</v>
      </c>
      <c r="C134" s="126">
        <v>28.751790505491908</v>
      </c>
      <c r="D134" s="126">
        <v>29.37246419931877</v>
      </c>
      <c r="E134" s="126">
        <v>30.105419203851056</v>
      </c>
      <c r="F134" s="126">
        <v>30.390408379337039</v>
      </c>
      <c r="G134" s="126">
        <v>30.375354779025422</v>
      </c>
      <c r="H134" s="126">
        <v>30.51856742486261</v>
      </c>
      <c r="I134" s="126">
        <v>30.312893779701088</v>
      </c>
      <c r="J134" s="33">
        <v>238.20411521250796</v>
      </c>
      <c r="K134" s="180"/>
      <c r="L134" s="40" t="s">
        <v>30</v>
      </c>
      <c r="M134" s="189">
        <f t="shared" si="36"/>
        <v>-8.7592883441374809</v>
      </c>
      <c r="N134" s="231">
        <f t="shared" si="36"/>
        <v>-9.7580639979341548</v>
      </c>
      <c r="O134" s="231">
        <f t="shared" si="36"/>
        <v>-6.982299718471527</v>
      </c>
      <c r="P134" s="231">
        <f t="shared" si="36"/>
        <v>-7.1720835284916191</v>
      </c>
      <c r="Q134" s="231">
        <f t="shared" si="36"/>
        <v>-12.360278571941979</v>
      </c>
      <c r="R134" s="231">
        <f t="shared" si="36"/>
        <v>-0.97061502996096749</v>
      </c>
      <c r="S134" s="231">
        <f t="shared" si="36"/>
        <v>-0.20505447679115818</v>
      </c>
      <c r="T134" s="231">
        <f t="shared" si="36"/>
        <v>-0.15423872330540078</v>
      </c>
      <c r="U134" s="62">
        <f t="shared" si="36"/>
        <v>-46.361922391034312</v>
      </c>
      <c r="W134" s="40" t="s">
        <v>30</v>
      </c>
      <c r="X134" s="193">
        <f t="shared" si="37"/>
        <v>-0.30867326991134764</v>
      </c>
      <c r="Y134" s="234">
        <f t="shared" si="37"/>
        <v>-0.33938978499687722</v>
      </c>
      <c r="Z134" s="234">
        <f t="shared" si="37"/>
        <v>-0.23771583041485045</v>
      </c>
      <c r="AA134" s="234">
        <f t="shared" si="37"/>
        <v>-0.23823230893839117</v>
      </c>
      <c r="AB134" s="234">
        <f t="shared" si="37"/>
        <v>-0.40671643558254866</v>
      </c>
      <c r="AC134" s="234">
        <f t="shared" si="37"/>
        <v>-3.1954031056492874E-2</v>
      </c>
      <c r="AD134" s="234">
        <f t="shared" si="37"/>
        <v>-6.7190072828944821E-3</v>
      </c>
      <c r="AE134" s="234">
        <f t="shared" si="37"/>
        <v>-5.0882216797357082E-3</v>
      </c>
      <c r="AF134" s="212">
        <f t="shared" si="37"/>
        <v>-0.1946310723879546</v>
      </c>
    </row>
    <row r="135" spans="1:32">
      <c r="A135" s="41" t="s">
        <v>31</v>
      </c>
      <c r="B135" s="37">
        <v>107.69764481971539</v>
      </c>
      <c r="C135" s="37">
        <v>107.01562423563539</v>
      </c>
      <c r="D135" s="37">
        <v>110.95343539843005</v>
      </c>
      <c r="E135" s="37">
        <v>111.04484437839777</v>
      </c>
      <c r="F135" s="37">
        <v>106.48751229137744</v>
      </c>
      <c r="G135" s="37">
        <v>107.05421833024197</v>
      </c>
      <c r="H135" s="37">
        <v>106.45203964278949</v>
      </c>
      <c r="I135" s="37">
        <v>103.85790639951627</v>
      </c>
      <c r="J135" s="37">
        <v>860.56322549610388</v>
      </c>
      <c r="K135" s="180"/>
      <c r="L135" s="41" t="s">
        <v>31</v>
      </c>
      <c r="M135" s="229">
        <f t="shared" si="36"/>
        <v>-5.7080189350534027</v>
      </c>
      <c r="N135" s="231">
        <f t="shared" si="36"/>
        <v>-10.95082770009725</v>
      </c>
      <c r="O135" s="229">
        <f t="shared" si="36"/>
        <v>-22.965284760209315</v>
      </c>
      <c r="P135" s="229">
        <f t="shared" si="36"/>
        <v>-21.798050630226911</v>
      </c>
      <c r="Q135" s="229">
        <f t="shared" si="36"/>
        <v>-28.591190331153967</v>
      </c>
      <c r="R135" s="229">
        <f t="shared" si="36"/>
        <v>-16.592841274665133</v>
      </c>
      <c r="S135" s="229">
        <f t="shared" si="36"/>
        <v>-14.19628788448145</v>
      </c>
      <c r="T135" s="229">
        <f t="shared" si="36"/>
        <v>-8.9980302486322898</v>
      </c>
      <c r="U135" s="229">
        <f t="shared" si="36"/>
        <v>-129.80053176451975</v>
      </c>
      <c r="W135" s="41" t="s">
        <v>31</v>
      </c>
      <c r="X135" s="232">
        <f t="shared" si="37"/>
        <v>-5.3000406319084883E-2</v>
      </c>
      <c r="Y135" s="234">
        <f t="shared" si="37"/>
        <v>-0.10232924190569463</v>
      </c>
      <c r="Z135" s="232">
        <f t="shared" si="37"/>
        <v>-0.20698128613811506</v>
      </c>
      <c r="AA135" s="232">
        <f t="shared" si="37"/>
        <v>-0.19629952882771942</v>
      </c>
      <c r="AB135" s="232">
        <f t="shared" si="37"/>
        <v>-0.26849336336190349</v>
      </c>
      <c r="AC135" s="232">
        <f t="shared" si="37"/>
        <v>-0.15499474503171248</v>
      </c>
      <c r="AD135" s="232">
        <f t="shared" si="37"/>
        <v>-0.1333585334026339</v>
      </c>
      <c r="AE135" s="232">
        <f t="shared" si="37"/>
        <v>-8.663789364306114E-2</v>
      </c>
      <c r="AF135" s="232">
        <f t="shared" si="37"/>
        <v>-0.15083206895076345</v>
      </c>
    </row>
    <row r="136" spans="1:32">
      <c r="A136" s="131" t="s">
        <v>52</v>
      </c>
      <c r="B136" s="19">
        <v>0.76148074520617182</v>
      </c>
      <c r="C136" s="19">
        <v>0.76148074520617182</v>
      </c>
      <c r="D136" s="19">
        <v>0.76148074520617182</v>
      </c>
      <c r="E136" s="19">
        <v>0.76148074520617182</v>
      </c>
      <c r="F136" s="19">
        <v>0.76148074520617182</v>
      </c>
      <c r="G136" s="19">
        <v>0.76148074520617182</v>
      </c>
      <c r="H136" s="19">
        <v>0.76148074520617182</v>
      </c>
      <c r="I136" s="19">
        <v>0.76148074520617182</v>
      </c>
      <c r="J136" s="19">
        <v>6.0918459616493745</v>
      </c>
      <c r="K136" s="237"/>
      <c r="L136" s="131" t="s">
        <v>52</v>
      </c>
      <c r="M136" s="238">
        <f t="shared" si="36"/>
        <v>-0.76148074520617182</v>
      </c>
      <c r="N136" s="239">
        <f t="shared" si="36"/>
        <v>-0.76148074520617182</v>
      </c>
      <c r="O136" s="239">
        <f t="shared" si="36"/>
        <v>-0.71863279986191508</v>
      </c>
      <c r="P136" s="239">
        <f t="shared" si="36"/>
        <v>-0.72910210976495093</v>
      </c>
      <c r="Q136" s="239">
        <f t="shared" si="36"/>
        <v>-0.7288410349061718</v>
      </c>
      <c r="R136" s="239">
        <f t="shared" si="36"/>
        <v>-0.47021860928384174</v>
      </c>
      <c r="S136" s="239">
        <f t="shared" si="36"/>
        <v>-0.47870197246604557</v>
      </c>
      <c r="T136" s="239">
        <f t="shared" si="36"/>
        <v>-0.48693824740022401</v>
      </c>
      <c r="U136" s="240">
        <f t="shared" si="36"/>
        <v>-6.0918459616493745</v>
      </c>
      <c r="V136" s="135"/>
      <c r="W136" s="131" t="s">
        <v>52</v>
      </c>
      <c r="X136" s="241">
        <f t="shared" si="37"/>
        <v>-1</v>
      </c>
      <c r="Y136" s="242">
        <f t="shared" si="37"/>
        <v>-1</v>
      </c>
      <c r="Z136" s="242">
        <f t="shared" si="37"/>
        <v>-0.9437307566685017</v>
      </c>
      <c r="AA136" s="242">
        <f t="shared" si="37"/>
        <v>-0.95747937732495869</v>
      </c>
      <c r="AB136" s="242">
        <f t="shared" si="37"/>
        <v>-0.95713652576840569</v>
      </c>
      <c r="AC136" s="242">
        <f t="shared" si="37"/>
        <v>-0.61750558007416123</v>
      </c>
      <c r="AD136" s="242">
        <f t="shared" si="37"/>
        <v>-0.62864619424675861</v>
      </c>
      <c r="AE136" s="242">
        <f t="shared" si="37"/>
        <v>-0.63946232451141616</v>
      </c>
      <c r="AF136" s="243">
        <f t="shared" si="37"/>
        <v>-1</v>
      </c>
    </row>
    <row r="137" spans="1:32">
      <c r="A137" s="44" t="s">
        <v>33</v>
      </c>
      <c r="B137" s="72">
        <f t="shared" ref="B137:J137" si="38">+B135+B123+B119</f>
        <v>281.89487467076327</v>
      </c>
      <c r="C137" s="72">
        <f t="shared" si="38"/>
        <v>275.24708451773029</v>
      </c>
      <c r="D137" s="72">
        <f t="shared" si="38"/>
        <v>271.37513600568559</v>
      </c>
      <c r="E137" s="72">
        <f t="shared" si="38"/>
        <v>267.92314459624072</v>
      </c>
      <c r="F137" s="72">
        <f t="shared" si="38"/>
        <v>266.06813848831695</v>
      </c>
      <c r="G137" s="72">
        <f t="shared" si="38"/>
        <v>263.81505328860482</v>
      </c>
      <c r="H137" s="72">
        <f t="shared" si="38"/>
        <v>265.5114451192436</v>
      </c>
      <c r="I137" s="72">
        <f t="shared" si="38"/>
        <v>263.60092012337452</v>
      </c>
      <c r="J137" s="72">
        <f t="shared" si="38"/>
        <v>2155.4357968099598</v>
      </c>
      <c r="K137" s="180"/>
      <c r="L137" s="44" t="s">
        <v>33</v>
      </c>
      <c r="M137" s="244">
        <f t="shared" si="36"/>
        <v>-45.478158471580457</v>
      </c>
      <c r="N137" s="244">
        <f t="shared" si="36"/>
        <v>-49.87029474429832</v>
      </c>
      <c r="O137" s="244">
        <f t="shared" si="36"/>
        <v>-50.023230505033297</v>
      </c>
      <c r="P137" s="244">
        <f t="shared" si="36"/>
        <v>-48.630598625180312</v>
      </c>
      <c r="Q137" s="244">
        <f t="shared" si="36"/>
        <v>-71.171099067300474</v>
      </c>
      <c r="R137" s="244">
        <f t="shared" si="36"/>
        <v>-51.595322385663962</v>
      </c>
      <c r="S137" s="244">
        <f t="shared" si="36"/>
        <v>-49.226731151526508</v>
      </c>
      <c r="T137" s="244">
        <f t="shared" si="36"/>
        <v>-43.534907805124845</v>
      </c>
      <c r="U137" s="244">
        <f t="shared" si="36"/>
        <v>-409.53034275570826</v>
      </c>
      <c r="W137" s="44" t="s">
        <v>33</v>
      </c>
      <c r="X137" s="245">
        <f t="shared" si="37"/>
        <v>-0.16133020695993955</v>
      </c>
      <c r="Y137" s="245">
        <f t="shared" si="37"/>
        <v>-0.1811837347221234</v>
      </c>
      <c r="Z137" s="245">
        <f t="shared" si="37"/>
        <v>-0.18433240141788546</v>
      </c>
      <c r="AA137" s="245">
        <f t="shared" si="37"/>
        <v>-0.18150950974566404</v>
      </c>
      <c r="AB137" s="245">
        <f t="shared" si="37"/>
        <v>-0.26749200213021973</v>
      </c>
      <c r="AC137" s="245">
        <f t="shared" si="37"/>
        <v>-0.19557383759000443</v>
      </c>
      <c r="AD137" s="245">
        <f t="shared" si="37"/>
        <v>-0.18540342443399507</v>
      </c>
      <c r="AE137" s="245">
        <f t="shared" si="37"/>
        <v>-0.1651546124526006</v>
      </c>
      <c r="AF137" s="245">
        <f t="shared" si="37"/>
        <v>-0.18999885933128338</v>
      </c>
    </row>
    <row r="138" spans="1:32">
      <c r="A138" s="46" t="s">
        <v>34</v>
      </c>
      <c r="B138" s="19"/>
      <c r="C138" s="64"/>
      <c r="D138" s="64"/>
      <c r="E138" s="64"/>
      <c r="F138" s="64"/>
      <c r="G138" s="64"/>
      <c r="H138" s="64"/>
      <c r="I138" s="86"/>
      <c r="J138" s="21"/>
      <c r="K138" s="180"/>
      <c r="L138" s="46" t="s">
        <v>34</v>
      </c>
      <c r="M138" s="142"/>
      <c r="N138" s="142"/>
      <c r="O138" s="143"/>
      <c r="P138" s="142"/>
      <c r="Q138" s="142"/>
      <c r="R138" s="142"/>
      <c r="S138" s="142"/>
      <c r="T138" s="142"/>
      <c r="U138" s="48"/>
      <c r="W138" s="46" t="s">
        <v>34</v>
      </c>
      <c r="X138" s="246" t="e">
        <f t="shared" si="37"/>
        <v>#DIV/0!</v>
      </c>
      <c r="Y138" s="246" t="e">
        <f t="shared" si="37"/>
        <v>#DIV/0!</v>
      </c>
      <c r="Z138" s="247" t="e">
        <f t="shared" si="37"/>
        <v>#DIV/0!</v>
      </c>
      <c r="AA138" s="246" t="e">
        <f t="shared" si="37"/>
        <v>#DIV/0!</v>
      </c>
      <c r="AB138" s="246" t="e">
        <f t="shared" si="37"/>
        <v>#DIV/0!</v>
      </c>
      <c r="AC138" s="246" t="e">
        <f t="shared" si="37"/>
        <v>#DIV/0!</v>
      </c>
      <c r="AD138" s="246" t="e">
        <f t="shared" si="37"/>
        <v>#DIV/0!</v>
      </c>
      <c r="AE138" s="246" t="e">
        <f t="shared" si="37"/>
        <v>#DIV/0!</v>
      </c>
      <c r="AF138" s="248" t="e">
        <f t="shared" si="37"/>
        <v>#DIV/0!</v>
      </c>
    </row>
    <row r="139" spans="1:32">
      <c r="A139" s="32" t="s">
        <v>35</v>
      </c>
      <c r="B139" s="16">
        <v>35.174664797001995</v>
      </c>
      <c r="C139" s="79">
        <v>35.174664797288479</v>
      </c>
      <c r="D139" s="79">
        <v>35.174664797572099</v>
      </c>
      <c r="E139" s="79">
        <v>35.174664797852884</v>
      </c>
      <c r="F139" s="79">
        <v>35.174664798130863</v>
      </c>
      <c r="G139" s="79">
        <v>35.174664798406056</v>
      </c>
      <c r="H139" s="79">
        <v>35.174664798678499</v>
      </c>
      <c r="I139" s="80">
        <v>35.174664798948214</v>
      </c>
      <c r="J139" s="21">
        <v>281.39731838387905</v>
      </c>
      <c r="K139" s="180"/>
      <c r="L139" s="32" t="s">
        <v>35</v>
      </c>
      <c r="M139" s="62">
        <f t="shared" ref="M139:U144" si="39">B39-B139</f>
        <v>7.9678531350120423</v>
      </c>
      <c r="N139" s="190">
        <f t="shared" si="39"/>
        <v>8.584040947549525</v>
      </c>
      <c r="O139" s="190">
        <f t="shared" si="39"/>
        <v>8.1329246588682622</v>
      </c>
      <c r="P139" s="190">
        <f t="shared" si="39"/>
        <v>24.006855235648182</v>
      </c>
      <c r="Q139" s="190">
        <f t="shared" si="39"/>
        <v>26.54063574323618</v>
      </c>
      <c r="R139" s="190">
        <f t="shared" si="39"/>
        <v>9.4249005962443775</v>
      </c>
      <c r="S139" s="190">
        <f t="shared" si="39"/>
        <v>23.785567486876566</v>
      </c>
      <c r="T139" s="249">
        <f t="shared" si="39"/>
        <v>16.544483131565805</v>
      </c>
      <c r="U139" s="250">
        <f t="shared" si="39"/>
        <v>124.98726093500102</v>
      </c>
      <c r="W139" s="32" t="s">
        <v>35</v>
      </c>
      <c r="X139" s="212">
        <f t="shared" si="37"/>
        <v>0.22652250365414023</v>
      </c>
      <c r="Y139" s="194">
        <f t="shared" si="37"/>
        <v>0.24404044777737999</v>
      </c>
      <c r="Z139" s="194">
        <f t="shared" si="37"/>
        <v>0.23121541330024645</v>
      </c>
      <c r="AA139" s="194">
        <f t="shared" si="37"/>
        <v>0.68250416524548085</v>
      </c>
      <c r="AB139" s="194">
        <f t="shared" si="37"/>
        <v>0.75453841267725508</v>
      </c>
      <c r="AC139" s="194">
        <f t="shared" si="37"/>
        <v>0.26794571178604287</v>
      </c>
      <c r="AD139" s="194">
        <f t="shared" si="37"/>
        <v>0.67621305342958615</v>
      </c>
      <c r="AE139" s="251">
        <f t="shared" si="37"/>
        <v>0.47035226138275849</v>
      </c>
      <c r="AF139" s="226">
        <f t="shared" si="37"/>
        <v>0.44416649615862652</v>
      </c>
    </row>
    <row r="140" spans="1:32">
      <c r="A140" s="32" t="s">
        <v>36</v>
      </c>
      <c r="B140" s="19">
        <v>29.35791179673906</v>
      </c>
      <c r="C140" s="64">
        <v>29.379263922440025</v>
      </c>
      <c r="D140" s="64">
        <v>29.380645479142519</v>
      </c>
      <c r="E140" s="64">
        <v>29.380645479142519</v>
      </c>
      <c r="F140" s="64">
        <v>29.380645479142519</v>
      </c>
      <c r="G140" s="64">
        <v>29.380645479142519</v>
      </c>
      <c r="H140" s="64">
        <v>29.380645479142519</v>
      </c>
      <c r="I140" s="86">
        <v>29.380645479142519</v>
      </c>
      <c r="J140" s="21">
        <v>235.0210485940342</v>
      </c>
      <c r="K140" s="180"/>
      <c r="L140" s="32" t="s">
        <v>36</v>
      </c>
      <c r="M140" s="189">
        <f t="shared" si="39"/>
        <v>-6.685924051539196</v>
      </c>
      <c r="N140" s="190">
        <f t="shared" si="39"/>
        <v>-4.8218580617756075</v>
      </c>
      <c r="O140" s="190">
        <f t="shared" si="39"/>
        <v>-4.6419226721780014</v>
      </c>
      <c r="P140" s="190">
        <f t="shared" si="39"/>
        <v>4.3410616108140125</v>
      </c>
      <c r="Q140" s="190">
        <f t="shared" si="39"/>
        <v>12.141657510857481</v>
      </c>
      <c r="R140" s="190">
        <f t="shared" si="39"/>
        <v>3.0503154071347502</v>
      </c>
      <c r="S140" s="190">
        <f t="shared" si="39"/>
        <v>-6.0660056958077995</v>
      </c>
      <c r="T140" s="249">
        <f t="shared" si="39"/>
        <v>-5.1720527068975919</v>
      </c>
      <c r="U140" s="250">
        <f t="shared" si="39"/>
        <v>-7.8547286593919807</v>
      </c>
      <c r="W140" s="32" t="s">
        <v>36</v>
      </c>
      <c r="X140" s="193">
        <f t="shared" si="37"/>
        <v>-0.22773840652664668</v>
      </c>
      <c r="Y140" s="194">
        <f t="shared" si="37"/>
        <v>-0.16412453608453575</v>
      </c>
      <c r="Z140" s="194">
        <f t="shared" si="37"/>
        <v>-0.15799253544219535</v>
      </c>
      <c r="AA140" s="194">
        <f t="shared" ref="AA140:AF144" si="40">P140/E140</f>
        <v>0.14775242476873954</v>
      </c>
      <c r="AB140" s="194">
        <f t="shared" si="40"/>
        <v>0.41325359987332172</v>
      </c>
      <c r="AC140" s="194">
        <f t="shared" si="40"/>
        <v>0.10382057158343189</v>
      </c>
      <c r="AD140" s="194">
        <f t="shared" si="40"/>
        <v>-0.20646264222186983</v>
      </c>
      <c r="AE140" s="251">
        <f t="shared" si="40"/>
        <v>-0.17603604762765543</v>
      </c>
      <c r="AF140" s="226">
        <f t="shared" si="40"/>
        <v>-3.3421383771289011E-2</v>
      </c>
    </row>
    <row r="141" spans="1:32">
      <c r="A141" s="32" t="s">
        <v>37</v>
      </c>
      <c r="B141" s="19">
        <v>11.300373088168895</v>
      </c>
      <c r="C141" s="64">
        <v>11.145860821488384</v>
      </c>
      <c r="D141" s="64">
        <v>11.062965902515682</v>
      </c>
      <c r="E141" s="64">
        <v>10.851004549614414</v>
      </c>
      <c r="F141" s="64">
        <v>10.689825195890936</v>
      </c>
      <c r="G141" s="64">
        <v>10.53331275627937</v>
      </c>
      <c r="H141" s="64">
        <v>10.374799746221997</v>
      </c>
      <c r="I141" s="86">
        <v>9.997833948104633</v>
      </c>
      <c r="J141" s="21">
        <v>85.955976008284324</v>
      </c>
      <c r="K141" s="180"/>
      <c r="L141" s="32" t="s">
        <v>37</v>
      </c>
      <c r="M141" s="189">
        <f t="shared" si="39"/>
        <v>-1.5695270430786472</v>
      </c>
      <c r="N141" s="190">
        <f t="shared" si="39"/>
        <v>-3.905154702464019</v>
      </c>
      <c r="O141" s="190">
        <f t="shared" si="39"/>
        <v>-5.8377595231570787</v>
      </c>
      <c r="P141" s="190">
        <f t="shared" si="39"/>
        <v>-5.712471461870785</v>
      </c>
      <c r="Q141" s="190">
        <f t="shared" si="39"/>
        <v>-4.8334175215145638</v>
      </c>
      <c r="R141" s="190">
        <f t="shared" si="39"/>
        <v>-3.2466968156968479</v>
      </c>
      <c r="S141" s="190">
        <f t="shared" si="39"/>
        <v>-3.088183805639475</v>
      </c>
      <c r="T141" s="249">
        <f t="shared" si="39"/>
        <v>-2.7112180075221115</v>
      </c>
      <c r="U141" s="250">
        <f t="shared" si="39"/>
        <v>-30.904428880943541</v>
      </c>
      <c r="W141" s="32" t="s">
        <v>37</v>
      </c>
      <c r="X141" s="193">
        <f t="shared" ref="X141:Z144" si="41">M141/B141</f>
        <v>-0.1388916127664748</v>
      </c>
      <c r="Y141" s="194">
        <f t="shared" si="41"/>
        <v>-0.35036815594675053</v>
      </c>
      <c r="Z141" s="194">
        <f t="shared" si="41"/>
        <v>-0.52768485183793179</v>
      </c>
      <c r="AA141" s="194">
        <f t="shared" si="40"/>
        <v>-0.52644632446253792</v>
      </c>
      <c r="AB141" s="194">
        <f t="shared" si="40"/>
        <v>-0.4521512216469622</v>
      </c>
      <c r="AC141" s="194">
        <f t="shared" si="40"/>
        <v>-0.30823131248631624</v>
      </c>
      <c r="AD141" s="194">
        <f t="shared" si="40"/>
        <v>-0.29766201576700724</v>
      </c>
      <c r="AE141" s="251">
        <f t="shared" si="40"/>
        <v>-0.27118053986444718</v>
      </c>
      <c r="AF141" s="226">
        <f t="shared" si="40"/>
        <v>-0.35953787410854382</v>
      </c>
    </row>
    <row r="142" spans="1:32">
      <c r="A142" s="51" t="s">
        <v>38</v>
      </c>
      <c r="B142" s="19">
        <v>5.028723745066797</v>
      </c>
      <c r="C142" s="112">
        <v>5.028723745066797</v>
      </c>
      <c r="D142" s="112">
        <v>5.028723745066797</v>
      </c>
      <c r="E142" s="112">
        <v>5.028723745066797</v>
      </c>
      <c r="F142" s="112">
        <v>5.028723745066797</v>
      </c>
      <c r="G142" s="112">
        <v>5.028723745066797</v>
      </c>
      <c r="H142" s="112">
        <v>5.028723745066797</v>
      </c>
      <c r="I142" s="151">
        <v>5.028723745066797</v>
      </c>
      <c r="J142" s="21">
        <v>40.229789960534376</v>
      </c>
      <c r="K142" s="180"/>
      <c r="L142" s="51" t="s">
        <v>38</v>
      </c>
      <c r="M142" s="189">
        <f t="shared" si="39"/>
        <v>-7.5396672886834715E-2</v>
      </c>
      <c r="N142" s="219">
        <f t="shared" si="39"/>
        <v>5.1881225834380373E-3</v>
      </c>
      <c r="O142" s="219">
        <f t="shared" si="39"/>
        <v>2.0411226399913058</v>
      </c>
      <c r="P142" s="219">
        <f t="shared" si="39"/>
        <v>1.9286361172433111</v>
      </c>
      <c r="Q142" s="219">
        <f t="shared" si="39"/>
        <v>1.8843681949332032</v>
      </c>
      <c r="R142" s="219">
        <f t="shared" si="39"/>
        <v>1.909537279205046</v>
      </c>
      <c r="S142" s="219">
        <f t="shared" si="39"/>
        <v>1.909537279205046</v>
      </c>
      <c r="T142" s="252">
        <f t="shared" si="39"/>
        <v>1.909537279205046</v>
      </c>
      <c r="U142" s="253">
        <f t="shared" si="39"/>
        <v>11.512530239479567</v>
      </c>
      <c r="W142" s="51" t="s">
        <v>38</v>
      </c>
      <c r="X142" s="193">
        <f t="shared" si="41"/>
        <v>-1.4993202392714299E-2</v>
      </c>
      <c r="Y142" s="222">
        <f t="shared" si="41"/>
        <v>1.0316976725014198E-3</v>
      </c>
      <c r="Z142" s="222">
        <f t="shared" si="41"/>
        <v>0.40589277587452627</v>
      </c>
      <c r="AA142" s="222">
        <f t="shared" si="40"/>
        <v>0.38352397447469899</v>
      </c>
      <c r="AB142" s="222">
        <f t="shared" si="40"/>
        <v>0.3747209611149902</v>
      </c>
      <c r="AC142" s="222">
        <f t="shared" si="40"/>
        <v>0.37972602513278075</v>
      </c>
      <c r="AD142" s="222">
        <f t="shared" si="40"/>
        <v>0.37972602513278075</v>
      </c>
      <c r="AE142" s="254">
        <f t="shared" si="40"/>
        <v>0.37972602513278075</v>
      </c>
      <c r="AF142" s="255">
        <f t="shared" si="40"/>
        <v>0.28616928526779323</v>
      </c>
    </row>
    <row r="143" spans="1:32">
      <c r="A143" s="53" t="s">
        <v>39</v>
      </c>
      <c r="B143" s="54">
        <v>80.861673426976751</v>
      </c>
      <c r="C143" s="54">
        <v>80.728513286283686</v>
      </c>
      <c r="D143" s="155">
        <v>80.646999924297091</v>
      </c>
      <c r="E143" s="54">
        <v>80.435038571676614</v>
      </c>
      <c r="F143" s="54">
        <v>80.273859218231124</v>
      </c>
      <c r="G143" s="54">
        <v>80.117346778894742</v>
      </c>
      <c r="H143" s="54">
        <v>79.958833769109802</v>
      </c>
      <c r="I143" s="54">
        <v>79.581867971262156</v>
      </c>
      <c r="J143" s="54">
        <v>642.60413294673197</v>
      </c>
      <c r="K143" s="180"/>
      <c r="L143" s="53" t="s">
        <v>39</v>
      </c>
      <c r="M143" s="48">
        <f t="shared" si="39"/>
        <v>-0.36299463249264363</v>
      </c>
      <c r="N143" s="55">
        <f t="shared" si="39"/>
        <v>-0.13778369410667324</v>
      </c>
      <c r="O143" s="155">
        <f t="shared" si="39"/>
        <v>-0.30563489647551023</v>
      </c>
      <c r="P143" s="54">
        <f t="shared" si="39"/>
        <v>24.564081501834721</v>
      </c>
      <c r="Q143" s="54">
        <f t="shared" si="39"/>
        <v>35.733243927512291</v>
      </c>
      <c r="R143" s="54">
        <f t="shared" si="39"/>
        <v>11.138056466887321</v>
      </c>
      <c r="S143" s="54">
        <f t="shared" si="39"/>
        <v>16.540915264634336</v>
      </c>
      <c r="T143" s="54">
        <f t="shared" si="39"/>
        <v>10.570749696351143</v>
      </c>
      <c r="U143" s="55">
        <f t="shared" si="39"/>
        <v>97.74063363414507</v>
      </c>
      <c r="W143" s="53" t="s">
        <v>39</v>
      </c>
      <c r="X143" s="248">
        <f t="shared" si="41"/>
        <v>-4.4890813794553853E-3</v>
      </c>
      <c r="Y143" s="256">
        <f t="shared" si="41"/>
        <v>-1.7067537663930151E-3</v>
      </c>
      <c r="Z143" s="257">
        <f t="shared" si="41"/>
        <v>-3.7897863127259301E-3</v>
      </c>
      <c r="AA143" s="258">
        <f t="shared" si="40"/>
        <v>0.30539031171030495</v>
      </c>
      <c r="AB143" s="258">
        <f t="shared" si="40"/>
        <v>0.44514172204389119</v>
      </c>
      <c r="AC143" s="258">
        <f t="shared" si="40"/>
        <v>0.13902178385444749</v>
      </c>
      <c r="AD143" s="258">
        <f t="shared" si="40"/>
        <v>0.20686789044970447</v>
      </c>
      <c r="AE143" s="258">
        <f t="shared" si="40"/>
        <v>0.13282861995861106</v>
      </c>
      <c r="AF143" s="256">
        <f t="shared" si="40"/>
        <v>0.15210084813171779</v>
      </c>
    </row>
    <row r="144" spans="1:32" ht="25.2">
      <c r="A144" s="53" t="s">
        <v>58</v>
      </c>
      <c r="B144" s="48">
        <f t="shared" ref="B144:J144" si="42">+B143+B137</f>
        <v>362.75654809774005</v>
      </c>
      <c r="C144" s="48">
        <f t="shared" si="42"/>
        <v>355.975597804014</v>
      </c>
      <c r="D144" s="48">
        <f t="shared" si="42"/>
        <v>352.02213592998271</v>
      </c>
      <c r="E144" s="48">
        <f t="shared" si="42"/>
        <v>348.35818316791733</v>
      </c>
      <c r="F144" s="48">
        <f t="shared" si="42"/>
        <v>346.34199770654806</v>
      </c>
      <c r="G144" s="48">
        <f t="shared" si="42"/>
        <v>343.93240006749954</v>
      </c>
      <c r="H144" s="48">
        <f t="shared" si="42"/>
        <v>345.47027888835339</v>
      </c>
      <c r="I144" s="48">
        <f t="shared" si="42"/>
        <v>343.18278809463669</v>
      </c>
      <c r="J144" s="48">
        <f t="shared" si="42"/>
        <v>2798.0399297566919</v>
      </c>
      <c r="K144" s="180"/>
      <c r="L144" s="53" t="s">
        <v>40</v>
      </c>
      <c r="M144" s="48">
        <f t="shared" si="39"/>
        <v>-45.841153104073101</v>
      </c>
      <c r="N144" s="48">
        <f t="shared" si="39"/>
        <v>-50.00807843840505</v>
      </c>
      <c r="O144" s="48">
        <f t="shared" si="39"/>
        <v>-50.328865401508835</v>
      </c>
      <c r="P144" s="48">
        <f t="shared" si="39"/>
        <v>-24.066517123345591</v>
      </c>
      <c r="Q144" s="48">
        <f t="shared" si="39"/>
        <v>-35.437855139788155</v>
      </c>
      <c r="R144" s="48">
        <f t="shared" si="39"/>
        <v>-40.457265918776613</v>
      </c>
      <c r="S144" s="48">
        <f t="shared" si="39"/>
        <v>-32.685815886892158</v>
      </c>
      <c r="T144" s="48">
        <f t="shared" si="39"/>
        <v>-32.964158108773688</v>
      </c>
      <c r="U144" s="48">
        <f t="shared" si="39"/>
        <v>-311.78970912156319</v>
      </c>
      <c r="W144" s="53" t="s">
        <v>40</v>
      </c>
      <c r="X144" s="248">
        <f t="shared" si="41"/>
        <v>-0.1263689197189124</v>
      </c>
      <c r="Y144" s="248">
        <f t="shared" si="41"/>
        <v>-0.14048175983663214</v>
      </c>
      <c r="Z144" s="248">
        <f t="shared" si="41"/>
        <v>-0.14297074037275673</v>
      </c>
      <c r="AA144" s="248">
        <f t="shared" si="40"/>
        <v>-6.9085551269352355E-2</v>
      </c>
      <c r="AB144" s="248">
        <f t="shared" si="40"/>
        <v>-0.10232040981011571</v>
      </c>
      <c r="AC144" s="248">
        <f t="shared" si="40"/>
        <v>-0.11763144708331214</v>
      </c>
      <c r="AD144" s="248">
        <f t="shared" si="40"/>
        <v>-9.4612526414914341E-2</v>
      </c>
      <c r="AE144" s="248">
        <f t="shared" si="40"/>
        <v>-9.6054228977484252E-2</v>
      </c>
      <c r="AF144" s="248">
        <f t="shared" si="40"/>
        <v>-0.11143147236954384</v>
      </c>
    </row>
    <row r="145" spans="1:21">
      <c r="B145" s="56"/>
      <c r="C145" s="56"/>
      <c r="D145" s="56"/>
      <c r="E145" s="56"/>
      <c r="F145" s="56"/>
      <c r="G145" s="56"/>
      <c r="H145" s="56"/>
      <c r="I145" s="56"/>
      <c r="J145" s="56"/>
      <c r="K145" s="49"/>
      <c r="L145" s="49"/>
      <c r="M145" s="56"/>
      <c r="N145" s="49"/>
      <c r="O145" s="49"/>
      <c r="P145" s="49"/>
      <c r="Q145" s="49"/>
      <c r="R145" s="49"/>
      <c r="S145" s="49"/>
      <c r="T145" s="49"/>
      <c r="U145" s="49"/>
    </row>
    <row r="146" spans="1:21">
      <c r="B146" s="56"/>
      <c r="C146" s="49"/>
      <c r="D146" s="73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>
      <c r="B147" s="56"/>
      <c r="C147" s="49"/>
      <c r="D147" s="73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>
      <c r="A148" s="8" t="s">
        <v>59</v>
      </c>
      <c r="B148" s="56"/>
      <c r="C148" s="49"/>
      <c r="D148" s="73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>
      <c r="A149" s="9" t="s">
        <v>60</v>
      </c>
      <c r="B149" s="56"/>
      <c r="C149" s="49"/>
      <c r="D149" s="73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>
      <c r="A150" s="10"/>
      <c r="B150" s="176"/>
      <c r="C150" s="177"/>
      <c r="D150" s="178"/>
      <c r="E150" s="177"/>
      <c r="F150" s="177"/>
      <c r="G150" s="177"/>
      <c r="H150" s="177"/>
      <c r="I150" s="177"/>
      <c r="J150" s="17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>
      <c r="A151" s="11"/>
      <c r="B151" s="626" t="s">
        <v>56</v>
      </c>
      <c r="C151" s="627"/>
      <c r="D151" s="627"/>
      <c r="E151" s="627"/>
      <c r="F151" s="627"/>
      <c r="G151" s="627"/>
      <c r="H151" s="627"/>
      <c r="I151" s="627"/>
      <c r="J151" s="628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ht="25.2">
      <c r="A152" s="12" t="s">
        <v>7</v>
      </c>
      <c r="B152" s="259">
        <v>2014</v>
      </c>
      <c r="C152" s="14">
        <v>2015</v>
      </c>
      <c r="D152" s="14">
        <v>2016</v>
      </c>
      <c r="E152" s="76">
        <v>2017</v>
      </c>
      <c r="F152" s="14">
        <v>2018</v>
      </c>
      <c r="G152" s="76">
        <v>2019</v>
      </c>
      <c r="H152" s="14">
        <v>2020</v>
      </c>
      <c r="I152" s="77">
        <v>2021</v>
      </c>
      <c r="J152" s="78" t="s">
        <v>6</v>
      </c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>
      <c r="A153" s="15" t="s">
        <v>8</v>
      </c>
      <c r="B153" s="16">
        <v>13.812222201501326</v>
      </c>
      <c r="C153" s="79">
        <v>13.310140291023234</v>
      </c>
      <c r="D153" s="79">
        <v>11.943701374251241</v>
      </c>
      <c r="E153" s="79">
        <v>11.396600453932834</v>
      </c>
      <c r="F153" s="79">
        <v>12.784905688805805</v>
      </c>
      <c r="G153" s="79">
        <v>11.130853747008178</v>
      </c>
      <c r="H153" s="79">
        <v>10.327685816030868</v>
      </c>
      <c r="I153" s="80">
        <v>12.067262950194097</v>
      </c>
      <c r="J153" s="18">
        <v>96.773372522747579</v>
      </c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>
      <c r="A154" s="15" t="s">
        <v>9</v>
      </c>
      <c r="B154" s="19">
        <v>7.0994471616505956</v>
      </c>
      <c r="C154" s="64">
        <v>7.2467798738310796</v>
      </c>
      <c r="D154" s="64">
        <v>7.3382842276772076</v>
      </c>
      <c r="E154" s="64">
        <v>7.5223200587800054</v>
      </c>
      <c r="F154" s="64">
        <v>7.4347317602947172</v>
      </c>
      <c r="G154" s="64">
        <v>7.60723617728131</v>
      </c>
      <c r="H154" s="64">
        <v>7.6603814369296401</v>
      </c>
      <c r="I154" s="86">
        <v>7.78669282388746</v>
      </c>
      <c r="J154" s="21">
        <v>59.695873520332015</v>
      </c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>
      <c r="A155" s="15" t="s">
        <v>10</v>
      </c>
      <c r="B155" s="19">
        <v>7.826123420786427</v>
      </c>
      <c r="C155" s="64">
        <v>7.8380930443771435</v>
      </c>
      <c r="D155" s="64">
        <v>7.8484738350575762</v>
      </c>
      <c r="E155" s="64">
        <v>7.8655497932189853</v>
      </c>
      <c r="F155" s="64">
        <v>7.8754859969236204</v>
      </c>
      <c r="G155" s="64">
        <v>7.8759094736962094</v>
      </c>
      <c r="H155" s="64">
        <v>7.8783228427027581</v>
      </c>
      <c r="I155" s="86">
        <v>7.9393516489579241</v>
      </c>
      <c r="J155" s="21">
        <v>62.947310055720642</v>
      </c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>
      <c r="A156" s="15" t="s">
        <v>11</v>
      </c>
      <c r="B156" s="19">
        <v>2.2657634509802915</v>
      </c>
      <c r="C156" s="64">
        <v>2.3664629960013515</v>
      </c>
      <c r="D156" s="64">
        <v>2.163769615551502</v>
      </c>
      <c r="E156" s="64">
        <v>3.1428076245539067</v>
      </c>
      <c r="F156" s="64">
        <v>2.8013326015098516</v>
      </c>
      <c r="G156" s="64">
        <v>2.8579974781389987</v>
      </c>
      <c r="H156" s="64">
        <v>2.7021497420345177</v>
      </c>
      <c r="I156" s="86">
        <v>3.1358749956372898</v>
      </c>
      <c r="J156" s="21">
        <v>21.436158504407711</v>
      </c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>
      <c r="A157" s="15" t="s">
        <v>12</v>
      </c>
      <c r="B157" s="19">
        <v>23.026094781956107</v>
      </c>
      <c r="C157" s="64">
        <v>21.853579496109724</v>
      </c>
      <c r="D157" s="64">
        <v>16.543840065762485</v>
      </c>
      <c r="E157" s="64">
        <v>13.659856363859241</v>
      </c>
      <c r="F157" s="64">
        <v>12.5456106221427</v>
      </c>
      <c r="G157" s="64">
        <v>12.434258500295723</v>
      </c>
      <c r="H157" s="64">
        <v>16.111724472445996</v>
      </c>
      <c r="I157" s="86">
        <v>15.569855306663513</v>
      </c>
      <c r="J157" s="21">
        <v>131.74481960923549</v>
      </c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>
      <c r="A158" s="22" t="s">
        <v>13</v>
      </c>
      <c r="B158" s="23">
        <v>7.0366280005999435</v>
      </c>
      <c r="C158" s="92">
        <v>6.7355686363046452</v>
      </c>
      <c r="D158" s="92">
        <v>5.2484999195343134</v>
      </c>
      <c r="E158" s="92">
        <v>4.9573919647355043</v>
      </c>
      <c r="F158" s="92">
        <v>5.9858115513116896</v>
      </c>
      <c r="G158" s="92">
        <v>5.6819282012883656</v>
      </c>
      <c r="H158" s="92">
        <v>5.5659988580475144</v>
      </c>
      <c r="I158" s="93">
        <v>4.9856883828342076</v>
      </c>
      <c r="J158" s="24">
        <v>46.197515514656182</v>
      </c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>
      <c r="A159" s="22" t="s">
        <v>14</v>
      </c>
      <c r="B159" s="23">
        <v>7.5876653482525604</v>
      </c>
      <c r="C159" s="99">
        <v>6.0407154894858621</v>
      </c>
      <c r="D159" s="99">
        <v>4.1958290866163939</v>
      </c>
      <c r="E159" s="99">
        <v>3.7968665057909212</v>
      </c>
      <c r="F159" s="99">
        <v>1.8755542860776628</v>
      </c>
      <c r="G159" s="99">
        <v>2.1720915001065526</v>
      </c>
      <c r="H159" s="99">
        <v>4.7345777786266678</v>
      </c>
      <c r="I159" s="100">
        <v>4.527005051613461</v>
      </c>
      <c r="J159" s="24">
        <v>34.930305046570084</v>
      </c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>
      <c r="A160" s="25" t="s">
        <v>15</v>
      </c>
      <c r="B160" s="26">
        <v>54.029651016874752</v>
      </c>
      <c r="C160" s="26">
        <v>52.615055701342534</v>
      </c>
      <c r="D160" s="103">
        <v>45.838069118300012</v>
      </c>
      <c r="E160" s="103">
        <v>43.58713429434497</v>
      </c>
      <c r="F160" s="103">
        <v>43.442066669676699</v>
      </c>
      <c r="G160" s="103">
        <v>41.906255376420418</v>
      </c>
      <c r="H160" s="103">
        <v>44.680264310143784</v>
      </c>
      <c r="I160" s="103">
        <v>46.499037725340287</v>
      </c>
      <c r="J160" s="26">
        <v>372.59753421244352</v>
      </c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>
      <c r="A161" s="15" t="s">
        <v>16</v>
      </c>
      <c r="B161" s="19"/>
      <c r="C161" s="64"/>
      <c r="D161" s="64"/>
      <c r="E161" s="64"/>
      <c r="F161" s="64"/>
      <c r="G161" s="64"/>
      <c r="H161" s="64"/>
      <c r="I161" s="86"/>
      <c r="J161" s="21">
        <v>0</v>
      </c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>
      <c r="A162" s="15" t="s">
        <v>17</v>
      </c>
      <c r="B162" s="19"/>
      <c r="C162" s="64"/>
      <c r="D162" s="64"/>
      <c r="E162" s="64"/>
      <c r="F162" s="64"/>
      <c r="G162" s="64"/>
      <c r="H162" s="64"/>
      <c r="I162" s="86"/>
      <c r="J162" s="21">
        <v>0</v>
      </c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>
      <c r="A163" s="15" t="s">
        <v>51</v>
      </c>
      <c r="B163" s="19"/>
      <c r="C163" s="64"/>
      <c r="D163" s="64"/>
      <c r="E163" s="64"/>
      <c r="F163" s="64"/>
      <c r="G163" s="64"/>
      <c r="H163" s="64"/>
      <c r="I163" s="86"/>
      <c r="J163" s="21">
        <v>0</v>
      </c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>
      <c r="A164" s="25" t="s">
        <v>19</v>
      </c>
      <c r="B164" s="116">
        <v>78.492312091154446</v>
      </c>
      <c r="C164" s="3">
        <v>78.424561265965337</v>
      </c>
      <c r="D164" s="3">
        <v>78.671911487631832</v>
      </c>
      <c r="E164" s="3">
        <v>78.136909577116896</v>
      </c>
      <c r="F164" s="3">
        <v>79.176105694973643</v>
      </c>
      <c r="G164" s="3">
        <v>79.122913338828909</v>
      </c>
      <c r="H164" s="3">
        <v>79.064726741647959</v>
      </c>
      <c r="I164" s="117">
        <v>77.744577277477603</v>
      </c>
      <c r="J164" s="118">
        <v>628.83401747479661</v>
      </c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>
      <c r="A165" s="32" t="s">
        <v>20</v>
      </c>
      <c r="B165" s="19">
        <v>19.074396630433853</v>
      </c>
      <c r="C165" s="64">
        <v>19.180328904868247</v>
      </c>
      <c r="D165" s="64">
        <v>21.059504651046126</v>
      </c>
      <c r="E165" s="64">
        <v>19.925836425646825</v>
      </c>
      <c r="F165" s="64">
        <v>19.020316348226618</v>
      </c>
      <c r="G165" s="64">
        <v>20.017359262664108</v>
      </c>
      <c r="H165" s="64">
        <v>20.286822656740505</v>
      </c>
      <c r="I165" s="86">
        <v>18.57232761841135</v>
      </c>
      <c r="J165" s="21">
        <v>157.13689249803761</v>
      </c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>
      <c r="A166" s="32" t="s">
        <v>21</v>
      </c>
      <c r="B166" s="19">
        <v>13.157222266304929</v>
      </c>
      <c r="C166" s="64">
        <v>13.086024818521839</v>
      </c>
      <c r="D166" s="64">
        <v>13.23989018850196</v>
      </c>
      <c r="E166" s="64">
        <v>13.389605662593699</v>
      </c>
      <c r="F166" s="64">
        <v>13.298557622500622</v>
      </c>
      <c r="G166" s="64">
        <v>13.256335099871258</v>
      </c>
      <c r="H166" s="64">
        <v>13.186264863766922</v>
      </c>
      <c r="I166" s="86">
        <v>13.730490668644135</v>
      </c>
      <c r="J166" s="21">
        <v>106.34439119070538</v>
      </c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>
      <c r="A167" s="32" t="s">
        <v>22</v>
      </c>
      <c r="B167" s="19">
        <v>11.583455193879857</v>
      </c>
      <c r="C167" s="64">
        <v>11.331607527173773</v>
      </c>
      <c r="D167" s="64">
        <v>11.122416875539718</v>
      </c>
      <c r="E167" s="64">
        <v>10.930997792713075</v>
      </c>
      <c r="F167" s="64">
        <v>10.735074273391717</v>
      </c>
      <c r="G167" s="64">
        <v>10.642514342629129</v>
      </c>
      <c r="H167" s="64">
        <v>10.423057040282472</v>
      </c>
      <c r="I167" s="86">
        <v>10.234337746865375</v>
      </c>
      <c r="J167" s="21">
        <v>87.003460792475124</v>
      </c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>
      <c r="A168" s="32" t="s">
        <v>23</v>
      </c>
      <c r="B168" s="19">
        <v>10.430412027622765</v>
      </c>
      <c r="C168" s="64">
        <v>10.567997445413326</v>
      </c>
      <c r="D168" s="64">
        <v>10.746040589655811</v>
      </c>
      <c r="E168" s="64">
        <v>10.964789322363698</v>
      </c>
      <c r="F168" s="64">
        <v>10.841550158640253</v>
      </c>
      <c r="G168" s="64">
        <v>10.861579097184711</v>
      </c>
      <c r="H168" s="64">
        <v>10.743687398425518</v>
      </c>
      <c r="I168" s="86">
        <v>10.756769276287521</v>
      </c>
      <c r="J168" s="21">
        <v>85.912825315593608</v>
      </c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>
      <c r="A169" s="32" t="s">
        <v>24</v>
      </c>
      <c r="B169" s="19">
        <v>0</v>
      </c>
      <c r="C169" s="64">
        <v>0</v>
      </c>
      <c r="D169" s="64">
        <v>0</v>
      </c>
      <c r="E169" s="64">
        <v>0</v>
      </c>
      <c r="F169" s="64">
        <v>0</v>
      </c>
      <c r="G169" s="64">
        <v>0</v>
      </c>
      <c r="H169" s="64">
        <v>0</v>
      </c>
      <c r="I169" s="86">
        <v>0</v>
      </c>
      <c r="J169" s="21">
        <v>0</v>
      </c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>
      <c r="A170" s="32" t="s">
        <v>25</v>
      </c>
      <c r="B170" s="19">
        <v>7.211808221109683</v>
      </c>
      <c r="C170" s="64">
        <v>6.4620479082264382</v>
      </c>
      <c r="D170" s="64">
        <v>7.0636718585180649</v>
      </c>
      <c r="E170" s="64">
        <v>7.3760481515439329</v>
      </c>
      <c r="F170" s="64">
        <v>6.5390834455611628</v>
      </c>
      <c r="G170" s="64">
        <v>6.816985900936829</v>
      </c>
      <c r="H170" s="64">
        <v>7.0031355770674537</v>
      </c>
      <c r="I170" s="86">
        <v>6.826208357636486</v>
      </c>
      <c r="J170" s="21">
        <v>55.298989420600051</v>
      </c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>
      <c r="A171" s="22" t="s">
        <v>57</v>
      </c>
      <c r="B171" s="23">
        <v>4.25</v>
      </c>
      <c r="C171" s="99">
        <v>4.1230000000000002</v>
      </c>
      <c r="D171" s="99">
        <v>4.66</v>
      </c>
      <c r="E171" s="99">
        <v>5.109</v>
      </c>
      <c r="F171" s="99">
        <v>4.1859999999999999</v>
      </c>
      <c r="G171" s="99">
        <v>4.43</v>
      </c>
      <c r="H171" s="99">
        <v>4.6050000000000004</v>
      </c>
      <c r="I171" s="100">
        <v>4.4640000000000004</v>
      </c>
      <c r="J171" s="24">
        <v>35.827000000000005</v>
      </c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>
      <c r="A172" s="36" t="s">
        <v>27</v>
      </c>
      <c r="B172" s="26">
        <v>61.457294339351087</v>
      </c>
      <c r="C172" s="26">
        <v>60.62800660420362</v>
      </c>
      <c r="D172" s="103">
        <v>63.231524163261682</v>
      </c>
      <c r="E172" s="103">
        <v>62.587277354861236</v>
      </c>
      <c r="F172" s="103">
        <v>60.43458184832037</v>
      </c>
      <c r="G172" s="103">
        <v>61.59477370328603</v>
      </c>
      <c r="H172" s="103">
        <v>61.642967536282868</v>
      </c>
      <c r="I172" s="103">
        <v>60.120133667844875</v>
      </c>
      <c r="J172" s="26">
        <v>491.69655921741179</v>
      </c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>
      <c r="A173" s="32" t="s">
        <v>28</v>
      </c>
      <c r="B173" s="19">
        <v>19.022412296336512</v>
      </c>
      <c r="C173" s="64">
        <v>19.168985924632736</v>
      </c>
      <c r="D173" s="64">
        <v>19.355674184583901</v>
      </c>
      <c r="E173" s="64">
        <v>19.901076487281038</v>
      </c>
      <c r="F173" s="64">
        <v>19.926692592454287</v>
      </c>
      <c r="G173" s="64">
        <v>20.0596478619034</v>
      </c>
      <c r="H173" s="64">
        <v>20.167257244174746</v>
      </c>
      <c r="I173" s="86">
        <v>19.974595539981319</v>
      </c>
      <c r="J173" s="21">
        <v>157.57634213134793</v>
      </c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>
      <c r="A174" s="32" t="s">
        <v>29</v>
      </c>
      <c r="B174" s="19">
        <v>3.249978665463122</v>
      </c>
      <c r="C174" s="64">
        <v>3.3973961248577109</v>
      </c>
      <c r="D174" s="64">
        <v>3.697855254920051</v>
      </c>
      <c r="E174" s="64">
        <v>3.7277264349022681</v>
      </c>
      <c r="F174" s="64">
        <v>3.9257894293926601</v>
      </c>
      <c r="G174" s="64">
        <v>3.7810190593922455</v>
      </c>
      <c r="H174" s="64">
        <v>3.7858128083159142</v>
      </c>
      <c r="I174" s="86">
        <v>3.8170476944703156</v>
      </c>
      <c r="J174" s="21">
        <v>29.382625471714288</v>
      </c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>
      <c r="A175" s="40" t="s">
        <v>30</v>
      </c>
      <c r="B175" s="19">
        <v>22.272390961799633</v>
      </c>
      <c r="C175" s="126">
        <v>22.566382049490446</v>
      </c>
      <c r="D175" s="126">
        <v>23.053529439503951</v>
      </c>
      <c r="E175" s="126">
        <v>23.628802922183308</v>
      </c>
      <c r="F175" s="126">
        <v>23.852482021846946</v>
      </c>
      <c r="G175" s="126">
        <v>23.840666921295647</v>
      </c>
      <c r="H175" s="126">
        <v>23.953070052490659</v>
      </c>
      <c r="I175" s="126">
        <v>23.791643234451634</v>
      </c>
      <c r="J175" s="33">
        <v>186.95896760306223</v>
      </c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>
      <c r="A176" s="41" t="s">
        <v>31</v>
      </c>
      <c r="B176" s="37">
        <v>84.028516523790074</v>
      </c>
      <c r="C176" s="37">
        <v>83.493219876333413</v>
      </c>
      <c r="D176" s="37">
        <v>86.583884825404979</v>
      </c>
      <c r="E176" s="37">
        <v>86.51491149968389</v>
      </c>
      <c r="F176" s="37">
        <v>84.585895092806666</v>
      </c>
      <c r="G176" s="37">
        <v>85.734271847221024</v>
      </c>
      <c r="H176" s="37">
        <v>85.894868811412877</v>
      </c>
      <c r="I176" s="37">
        <v>84.21060812493586</v>
      </c>
      <c r="J176" s="37">
        <v>681.04617660158885</v>
      </c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>
      <c r="A177" s="131" t="s">
        <v>52</v>
      </c>
      <c r="B177" s="260">
        <v>0.59766244527869861</v>
      </c>
      <c r="C177" s="261">
        <v>0.59766244527869861</v>
      </c>
      <c r="D177" s="261">
        <v>0.59766244527869861</v>
      </c>
      <c r="E177" s="261">
        <v>0.59766244527869861</v>
      </c>
      <c r="F177" s="261">
        <v>0.59766244527869861</v>
      </c>
      <c r="G177" s="261">
        <v>0.59766244527869861</v>
      </c>
      <c r="H177" s="261">
        <v>0.59766244527869861</v>
      </c>
      <c r="I177" s="262">
        <v>0.59766244527869861</v>
      </c>
      <c r="J177" s="263">
        <v>4.7812995622295889</v>
      </c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>
      <c r="A178" s="44" t="s">
        <v>33</v>
      </c>
      <c r="B178" s="72">
        <v>216.55047963181926</v>
      </c>
      <c r="C178" s="72">
        <v>214.53283684364126</v>
      </c>
      <c r="D178" s="72">
        <v>211.09386543133681</v>
      </c>
      <c r="E178" s="72">
        <v>208.23895537114575</v>
      </c>
      <c r="F178" s="72">
        <v>207.20406745745703</v>
      </c>
      <c r="G178" s="72">
        <v>206.76344056247035</v>
      </c>
      <c r="H178" s="72">
        <v>209.63985986320461</v>
      </c>
      <c r="I178" s="72">
        <v>208.45422312775375</v>
      </c>
      <c r="J178" s="72">
        <v>1682.477728288829</v>
      </c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>
      <c r="A179" s="46" t="s">
        <v>34</v>
      </c>
      <c r="B179" s="19">
        <v>0</v>
      </c>
      <c r="C179" s="64">
        <v>0</v>
      </c>
      <c r="D179" s="64">
        <v>0</v>
      </c>
      <c r="E179" s="64">
        <v>0</v>
      </c>
      <c r="F179" s="64">
        <v>0</v>
      </c>
      <c r="G179" s="64">
        <v>0</v>
      </c>
      <c r="H179" s="64">
        <v>0</v>
      </c>
      <c r="I179" s="86">
        <v>0</v>
      </c>
      <c r="J179" s="21">
        <v>0</v>
      </c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>
      <c r="A180" s="32" t="s">
        <v>35</v>
      </c>
      <c r="B180" s="16">
        <v>27.607495405209342</v>
      </c>
      <c r="C180" s="79">
        <v>27.607495405434193</v>
      </c>
      <c r="D180" s="79">
        <v>27.607495405656799</v>
      </c>
      <c r="E180" s="79">
        <v>27.607495405877174</v>
      </c>
      <c r="F180" s="79">
        <v>27.607495406095353</v>
      </c>
      <c r="G180" s="79">
        <v>27.607495406311344</v>
      </c>
      <c r="H180" s="79">
        <v>27.607495406525175</v>
      </c>
      <c r="I180" s="80">
        <v>27.607495406736867</v>
      </c>
      <c r="J180" s="18">
        <v>220.85996324784622</v>
      </c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>
      <c r="A181" s="32" t="s">
        <v>36</v>
      </c>
      <c r="B181" s="19">
        <v>23.042107713393051</v>
      </c>
      <c r="C181" s="64">
        <v>23.058866329731906</v>
      </c>
      <c r="D181" s="64">
        <v>23.059950670422467</v>
      </c>
      <c r="E181" s="64">
        <v>23.059950670422467</v>
      </c>
      <c r="F181" s="64">
        <v>23.059950670422467</v>
      </c>
      <c r="G181" s="64">
        <v>23.059950670422467</v>
      </c>
      <c r="H181" s="64">
        <v>23.059950670422467</v>
      </c>
      <c r="I181" s="86">
        <v>23.059950670422467</v>
      </c>
      <c r="J181" s="21">
        <v>184.46067806565975</v>
      </c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>
      <c r="A182" s="32" t="s">
        <v>37</v>
      </c>
      <c r="B182" s="19">
        <v>8.8693097690973381</v>
      </c>
      <c r="C182" s="64">
        <v>8.7480379185467037</v>
      </c>
      <c r="D182" s="64">
        <v>8.6829762866061735</v>
      </c>
      <c r="E182" s="64">
        <v>8.5166144432147775</v>
      </c>
      <c r="F182" s="64">
        <v>8.3901098043499669</v>
      </c>
      <c r="G182" s="64">
        <v>8.2672680805589636</v>
      </c>
      <c r="H182" s="64">
        <v>8.1428561715306849</v>
      </c>
      <c r="I182" s="86">
        <v>7.8469874944727245</v>
      </c>
      <c r="J182" s="21">
        <v>67.464159968377345</v>
      </c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>
      <c r="A183" s="51" t="s">
        <v>38</v>
      </c>
      <c r="B183" s="19">
        <v>3.9468881505256448</v>
      </c>
      <c r="C183" s="112">
        <v>3.9468881505256448</v>
      </c>
      <c r="D183" s="112">
        <v>3.9468881505256448</v>
      </c>
      <c r="E183" s="112">
        <v>3.9468881505256448</v>
      </c>
      <c r="F183" s="112">
        <v>3.9468881505256448</v>
      </c>
      <c r="G183" s="112">
        <v>3.9468881505256448</v>
      </c>
      <c r="H183" s="112">
        <v>3.9468881505256448</v>
      </c>
      <c r="I183" s="151">
        <v>3.9468881505256448</v>
      </c>
      <c r="J183" s="264">
        <v>31.575105204205158</v>
      </c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>
      <c r="A184" s="53" t="s">
        <v>39</v>
      </c>
      <c r="B184" s="54">
        <v>63.465801038225372</v>
      </c>
      <c r="C184" s="54">
        <v>63.361287804238451</v>
      </c>
      <c r="D184" s="155">
        <v>63.29731051321108</v>
      </c>
      <c r="E184" s="54">
        <v>63.130948670040063</v>
      </c>
      <c r="F184" s="54">
        <v>63.004444031393433</v>
      </c>
      <c r="G184" s="54">
        <v>62.881602307818419</v>
      </c>
      <c r="H184" s="54">
        <v>62.757190399003967</v>
      </c>
      <c r="I184" s="54">
        <v>62.461321722157699</v>
      </c>
      <c r="J184" s="54">
        <v>504.35990648608851</v>
      </c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>
      <c r="A185" s="53" t="s">
        <v>61</v>
      </c>
      <c r="B185" s="48">
        <v>280.01628067004464</v>
      </c>
      <c r="C185" s="48">
        <v>277.89412464787972</v>
      </c>
      <c r="D185" s="48">
        <v>274.39117594454791</v>
      </c>
      <c r="E185" s="48">
        <v>271.3699040411858</v>
      </c>
      <c r="F185" s="48">
        <v>270.20851148885049</v>
      </c>
      <c r="G185" s="48">
        <v>269.64504287028876</v>
      </c>
      <c r="H185" s="48">
        <v>272.39705026220855</v>
      </c>
      <c r="I185" s="48">
        <v>270.91554484991144</v>
      </c>
      <c r="J185" s="48">
        <v>2186.8376347749177</v>
      </c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>
      <c r="B186" s="56"/>
      <c r="C186" s="56"/>
      <c r="D186" s="56"/>
      <c r="E186" s="56"/>
      <c r="F186" s="56"/>
      <c r="G186" s="56"/>
      <c r="H186" s="56"/>
      <c r="I186" s="56"/>
      <c r="J186" s="56"/>
      <c r="K186" s="49"/>
      <c r="L186" s="49"/>
    </row>
    <row r="187" spans="1:21">
      <c r="A187" s="8" t="s">
        <v>62</v>
      </c>
      <c r="B187" s="265"/>
      <c r="C187" s="49"/>
      <c r="D187" s="73"/>
      <c r="E187" s="49"/>
      <c r="F187" s="49"/>
      <c r="G187" s="49"/>
      <c r="H187" s="49"/>
      <c r="I187" s="49"/>
      <c r="J187" s="265"/>
      <c r="K187" s="49"/>
      <c r="L187" s="49"/>
    </row>
    <row r="188" spans="1:21">
      <c r="A188" s="9" t="s">
        <v>63</v>
      </c>
      <c r="B188" s="56"/>
      <c r="C188" s="49"/>
      <c r="D188" s="73"/>
      <c r="E188" s="49"/>
      <c r="F188" s="49"/>
      <c r="G188" s="49"/>
      <c r="H188" s="49"/>
      <c r="I188" s="49"/>
      <c r="J188" s="49"/>
      <c r="K188" s="49"/>
      <c r="L188" s="49"/>
    </row>
    <row r="189" spans="1:21">
      <c r="A189" s="10"/>
      <c r="B189" s="266"/>
      <c r="C189" s="267"/>
      <c r="D189" s="268"/>
      <c r="E189" s="267"/>
      <c r="F189" s="267"/>
      <c r="G189" s="267"/>
      <c r="H189" s="267"/>
      <c r="I189" s="267"/>
      <c r="J189" s="269"/>
      <c r="K189" s="49"/>
      <c r="L189" s="49"/>
    </row>
    <row r="190" spans="1:21">
      <c r="A190" s="11"/>
      <c r="B190" s="626" t="s">
        <v>56</v>
      </c>
      <c r="C190" s="627"/>
      <c r="D190" s="627"/>
      <c r="E190" s="627"/>
      <c r="F190" s="627"/>
      <c r="G190" s="627"/>
      <c r="H190" s="627"/>
      <c r="I190" s="627"/>
      <c r="J190" s="628"/>
      <c r="K190" s="49"/>
      <c r="L190" s="49"/>
    </row>
    <row r="191" spans="1:21">
      <c r="A191" s="12" t="s">
        <v>64</v>
      </c>
      <c r="B191" s="13">
        <v>2014</v>
      </c>
      <c r="C191" s="270">
        <v>2015</v>
      </c>
      <c r="D191" s="270">
        <v>2016</v>
      </c>
      <c r="E191" s="271">
        <v>2017</v>
      </c>
      <c r="F191" s="270">
        <v>2018</v>
      </c>
      <c r="G191" s="271">
        <v>2019</v>
      </c>
      <c r="H191" s="270">
        <v>2020</v>
      </c>
      <c r="I191" s="272">
        <v>2021</v>
      </c>
      <c r="J191" s="273" t="s">
        <v>65</v>
      </c>
      <c r="K191" s="49"/>
      <c r="L191" s="49"/>
    </row>
    <row r="192" spans="1:21">
      <c r="A192" s="15" t="s">
        <v>42</v>
      </c>
      <c r="B192" s="63"/>
      <c r="C192" s="274"/>
      <c r="D192" s="63"/>
      <c r="E192" s="274"/>
      <c r="F192" s="274"/>
      <c r="G192" s="274"/>
      <c r="H192" s="274"/>
      <c r="I192" s="274"/>
      <c r="J192" s="274"/>
      <c r="K192" s="49"/>
      <c r="L192" s="49"/>
    </row>
    <row r="193" spans="1:10">
      <c r="A193" s="15" t="s">
        <v>43</v>
      </c>
      <c r="B193" s="62">
        <v>0.5</v>
      </c>
      <c r="C193" s="225">
        <v>0.5</v>
      </c>
      <c r="D193" s="62">
        <v>0.5</v>
      </c>
      <c r="E193" s="225">
        <v>0.5</v>
      </c>
      <c r="F193" s="225">
        <v>0.4</v>
      </c>
      <c r="G193" s="225">
        <v>0.4</v>
      </c>
      <c r="H193" s="225">
        <v>0.4</v>
      </c>
      <c r="I193" s="225">
        <v>0.4</v>
      </c>
      <c r="J193" s="225">
        <v>3.5999999999999996</v>
      </c>
    </row>
    <row r="194" spans="1:10">
      <c r="A194" s="15" t="s">
        <v>66</v>
      </c>
      <c r="B194" s="62"/>
      <c r="C194" s="225"/>
      <c r="D194" s="62"/>
      <c r="E194" s="225"/>
      <c r="F194" s="225"/>
      <c r="G194" s="225"/>
      <c r="H194" s="225"/>
      <c r="I194" s="225"/>
      <c r="J194" s="225"/>
    </row>
    <row r="195" spans="1:10">
      <c r="A195" s="15" t="s">
        <v>67</v>
      </c>
      <c r="B195" s="62"/>
      <c r="C195" s="192"/>
      <c r="D195" s="62"/>
      <c r="E195" s="225"/>
      <c r="F195" s="225"/>
      <c r="G195" s="225"/>
      <c r="H195" s="225"/>
      <c r="I195" s="225"/>
      <c r="J195" s="225"/>
    </row>
    <row r="196" spans="1:10">
      <c r="A196" s="15" t="s">
        <v>68</v>
      </c>
      <c r="B196" s="62">
        <v>0</v>
      </c>
      <c r="C196" s="192">
        <v>0</v>
      </c>
      <c r="D196" s="62">
        <v>0</v>
      </c>
      <c r="E196" s="225">
        <v>0.38</v>
      </c>
      <c r="F196" s="225">
        <v>0.38</v>
      </c>
      <c r="G196" s="225">
        <v>0.38</v>
      </c>
      <c r="H196" s="225">
        <v>0.38</v>
      </c>
      <c r="I196" s="225">
        <v>0.38</v>
      </c>
      <c r="J196" s="225">
        <v>1.9</v>
      </c>
    </row>
    <row r="197" spans="1:10">
      <c r="A197" s="15" t="s">
        <v>69</v>
      </c>
      <c r="B197" s="192">
        <v>4.2</v>
      </c>
      <c r="C197" s="192">
        <v>1</v>
      </c>
      <c r="D197" s="62">
        <v>1.4</v>
      </c>
      <c r="E197" s="225">
        <v>1</v>
      </c>
      <c r="F197" s="225">
        <v>2.5</v>
      </c>
      <c r="G197" s="225">
        <v>2</v>
      </c>
      <c r="H197" s="225">
        <v>1.2</v>
      </c>
      <c r="I197" s="225">
        <v>1.3</v>
      </c>
      <c r="J197" s="225">
        <v>14.6</v>
      </c>
    </row>
    <row r="198" spans="1:10">
      <c r="A198" s="15" t="s">
        <v>70</v>
      </c>
      <c r="B198" s="192">
        <v>0</v>
      </c>
      <c r="C198" s="192">
        <v>0</v>
      </c>
      <c r="D198" s="192">
        <v>0</v>
      </c>
      <c r="E198" s="192">
        <v>2.4832478492484832E-2</v>
      </c>
      <c r="F198" s="192">
        <v>-0.24832478492484805</v>
      </c>
      <c r="G198" s="192">
        <v>-0.37248717738727222</v>
      </c>
      <c r="H198" s="192">
        <v>-0.48423333060345364</v>
      </c>
      <c r="I198" s="192">
        <v>-0.54631452683466575</v>
      </c>
      <c r="J198" s="192">
        <v>-1.626527341257755</v>
      </c>
    </row>
    <row r="199" spans="1:10">
      <c r="A199" s="15" t="s">
        <v>71</v>
      </c>
      <c r="B199" s="192">
        <v>0</v>
      </c>
      <c r="C199" s="192">
        <v>0</v>
      </c>
      <c r="D199" s="192">
        <v>0</v>
      </c>
      <c r="E199" s="192">
        <v>0.14071737812408072</v>
      </c>
      <c r="F199" s="192">
        <v>-1.4071737812408054</v>
      </c>
      <c r="G199" s="192">
        <v>-2.1107606718612093</v>
      </c>
      <c r="H199" s="192">
        <v>-2.7439888734195712</v>
      </c>
      <c r="I199" s="192">
        <v>-3.0957823187297726</v>
      </c>
      <c r="J199" s="192">
        <v>-9.2169882671272774</v>
      </c>
    </row>
    <row r="200" spans="1:10">
      <c r="A200" s="15"/>
      <c r="B200" s="62"/>
      <c r="C200" s="192"/>
      <c r="D200" s="62"/>
      <c r="E200" s="225"/>
      <c r="F200" s="225"/>
      <c r="G200" s="225"/>
      <c r="H200" s="225"/>
      <c r="I200" s="225"/>
      <c r="J200" s="225"/>
    </row>
    <row r="201" spans="1:10">
      <c r="A201" s="25" t="s">
        <v>72</v>
      </c>
      <c r="B201" s="209">
        <f>SUM(B192:B200)</f>
        <v>4.7</v>
      </c>
      <c r="C201" s="209">
        <f t="shared" ref="C201:J201" si="43">SUM(C192:C200)</f>
        <v>1.5</v>
      </c>
      <c r="D201" s="209">
        <f t="shared" si="43"/>
        <v>1.9</v>
      </c>
      <c r="E201" s="209">
        <f t="shared" si="43"/>
        <v>2.0455498566165655</v>
      </c>
      <c r="F201" s="209">
        <f t="shared" si="43"/>
        <v>1.6245014338343469</v>
      </c>
      <c r="G201" s="209">
        <f t="shared" si="43"/>
        <v>0.29675215075151851</v>
      </c>
      <c r="H201" s="209">
        <f t="shared" si="43"/>
        <v>-1.2482222040230249</v>
      </c>
      <c r="I201" s="209">
        <f t="shared" si="43"/>
        <v>-1.5620968455644384</v>
      </c>
      <c r="J201" s="209">
        <f t="shared" si="43"/>
        <v>9.2564843916149684</v>
      </c>
    </row>
    <row r="202" spans="1:10">
      <c r="B202" s="56"/>
      <c r="C202" s="49"/>
      <c r="D202" s="73"/>
      <c r="E202" s="49"/>
      <c r="F202" s="49"/>
      <c r="G202" s="49"/>
      <c r="H202" s="49"/>
      <c r="I202" s="49"/>
      <c r="J202" s="49"/>
    </row>
    <row r="203" spans="1:10">
      <c r="B203" s="56"/>
      <c r="C203" s="49"/>
      <c r="D203" s="73"/>
      <c r="E203" s="49"/>
      <c r="F203" s="49"/>
      <c r="G203" s="49"/>
      <c r="H203" s="49"/>
      <c r="I203" s="49"/>
      <c r="J203" s="49"/>
    </row>
    <row r="204" spans="1:10">
      <c r="A204" s="8" t="s">
        <v>73</v>
      </c>
      <c r="B204" s="56"/>
      <c r="C204" s="49"/>
      <c r="D204" s="73"/>
      <c r="E204" s="49"/>
      <c r="F204" s="49"/>
      <c r="G204" s="49"/>
      <c r="H204" s="49"/>
      <c r="I204" s="49"/>
      <c r="J204" s="49"/>
    </row>
    <row r="205" spans="1:10">
      <c r="A205" s="9"/>
      <c r="B205" s="56"/>
      <c r="C205" s="49"/>
      <c r="D205" s="73"/>
      <c r="E205" s="49"/>
      <c r="F205" s="49"/>
      <c r="G205" s="49"/>
      <c r="H205" s="49"/>
      <c r="I205" s="49"/>
      <c r="J205" s="49"/>
    </row>
    <row r="206" spans="1:10">
      <c r="A206" s="10"/>
      <c r="B206" s="266"/>
      <c r="C206" s="267"/>
      <c r="D206" s="268"/>
      <c r="E206" s="267"/>
      <c r="F206" s="267"/>
      <c r="G206" s="267"/>
      <c r="H206" s="267"/>
      <c r="I206" s="267"/>
      <c r="J206" s="269"/>
    </row>
    <row r="207" spans="1:10">
      <c r="A207" s="11"/>
      <c r="B207" s="626" t="s">
        <v>56</v>
      </c>
      <c r="C207" s="627"/>
      <c r="D207" s="627"/>
      <c r="E207" s="627"/>
      <c r="F207" s="627"/>
      <c r="G207" s="627"/>
      <c r="H207" s="627"/>
      <c r="I207" s="627"/>
      <c r="J207" s="628"/>
    </row>
    <row r="208" spans="1:10">
      <c r="A208" s="12" t="s">
        <v>7</v>
      </c>
      <c r="B208" s="13">
        <v>2014</v>
      </c>
      <c r="C208" s="270">
        <v>2015</v>
      </c>
      <c r="D208" s="270">
        <v>2016</v>
      </c>
      <c r="E208" s="271">
        <v>2017</v>
      </c>
      <c r="F208" s="270">
        <v>2018</v>
      </c>
      <c r="G208" s="271">
        <v>2019</v>
      </c>
      <c r="H208" s="270">
        <v>2020</v>
      </c>
      <c r="I208" s="272">
        <v>2021</v>
      </c>
      <c r="J208" s="273" t="s">
        <v>65</v>
      </c>
    </row>
    <row r="209" spans="1:10">
      <c r="A209" s="15" t="s">
        <v>8</v>
      </c>
      <c r="B209" s="63"/>
      <c r="C209" s="274"/>
      <c r="D209" s="63"/>
      <c r="E209" s="274"/>
      <c r="F209" s="274"/>
      <c r="G209" s="274"/>
      <c r="H209" s="274"/>
      <c r="I209" s="274"/>
      <c r="J209" s="274">
        <f>SUM(B209:I209)</f>
        <v>0</v>
      </c>
    </row>
    <row r="210" spans="1:10">
      <c r="A210" s="15" t="s">
        <v>9</v>
      </c>
      <c r="B210" s="62">
        <f t="shared" ref="B210:I210" si="44">+B196</f>
        <v>0</v>
      </c>
      <c r="C210" s="225">
        <f t="shared" si="44"/>
        <v>0</v>
      </c>
      <c r="D210" s="62">
        <f t="shared" si="44"/>
        <v>0</v>
      </c>
      <c r="E210" s="225">
        <f t="shared" si="44"/>
        <v>0.38</v>
      </c>
      <c r="F210" s="225">
        <f t="shared" si="44"/>
        <v>0.38</v>
      </c>
      <c r="G210" s="225">
        <f t="shared" si="44"/>
        <v>0.38</v>
      </c>
      <c r="H210" s="225">
        <f t="shared" si="44"/>
        <v>0.38</v>
      </c>
      <c r="I210" s="225">
        <f t="shared" si="44"/>
        <v>0.38</v>
      </c>
      <c r="J210" s="225">
        <f t="shared" ref="J210:J219" si="45">SUM(B210:I210)</f>
        <v>1.9</v>
      </c>
    </row>
    <row r="211" spans="1:10">
      <c r="A211" s="15" t="s">
        <v>10</v>
      </c>
      <c r="B211" s="62"/>
      <c r="C211" s="225"/>
      <c r="D211" s="62"/>
      <c r="E211" s="225"/>
      <c r="F211" s="225"/>
      <c r="G211" s="225"/>
      <c r="H211" s="225"/>
      <c r="I211" s="225"/>
      <c r="J211" s="225">
        <f t="shared" si="45"/>
        <v>0</v>
      </c>
    </row>
    <row r="212" spans="1:10">
      <c r="A212" s="15" t="s">
        <v>11</v>
      </c>
      <c r="B212" s="62"/>
      <c r="C212" s="192"/>
      <c r="D212" s="62"/>
      <c r="E212" s="225"/>
      <c r="F212" s="225"/>
      <c r="G212" s="225"/>
      <c r="H212" s="225"/>
      <c r="I212" s="225"/>
      <c r="J212" s="225">
        <f t="shared" si="45"/>
        <v>0</v>
      </c>
    </row>
    <row r="213" spans="1:10">
      <c r="A213" s="15" t="s">
        <v>12</v>
      </c>
      <c r="B213" s="62">
        <f>B198</f>
        <v>0</v>
      </c>
      <c r="C213" s="62">
        <f t="shared" ref="C213:I213" si="46">C198</f>
        <v>0</v>
      </c>
      <c r="D213" s="62">
        <f t="shared" si="46"/>
        <v>0</v>
      </c>
      <c r="E213" s="62">
        <f t="shared" si="46"/>
        <v>2.4832478492484832E-2</v>
      </c>
      <c r="F213" s="62">
        <f t="shared" si="46"/>
        <v>-0.24832478492484805</v>
      </c>
      <c r="G213" s="62">
        <f t="shared" si="46"/>
        <v>-0.37248717738727222</v>
      </c>
      <c r="H213" s="62">
        <f t="shared" si="46"/>
        <v>-0.48423333060345364</v>
      </c>
      <c r="I213" s="62">
        <f t="shared" si="46"/>
        <v>-0.54631452683466575</v>
      </c>
      <c r="J213" s="225">
        <f t="shared" si="45"/>
        <v>-1.6265273412577548</v>
      </c>
    </row>
    <row r="214" spans="1:10">
      <c r="A214" s="22" t="s">
        <v>13</v>
      </c>
      <c r="B214" s="275"/>
      <c r="C214" s="200"/>
      <c r="D214" s="275"/>
      <c r="E214" s="227"/>
      <c r="F214" s="227"/>
      <c r="G214" s="227"/>
      <c r="H214" s="227"/>
      <c r="I214" s="227"/>
      <c r="J214" s="227">
        <f t="shared" si="45"/>
        <v>0</v>
      </c>
    </row>
    <row r="215" spans="1:10">
      <c r="A215" s="22" t="s">
        <v>14</v>
      </c>
      <c r="B215" s="275"/>
      <c r="C215" s="200"/>
      <c r="D215" s="275"/>
      <c r="E215" s="227"/>
      <c r="F215" s="227"/>
      <c r="G215" s="227"/>
      <c r="H215" s="227"/>
      <c r="I215" s="227"/>
      <c r="J215" s="227">
        <f t="shared" si="45"/>
        <v>0</v>
      </c>
    </row>
    <row r="216" spans="1:10">
      <c r="A216" s="25" t="s">
        <v>15</v>
      </c>
      <c r="B216" s="209">
        <f>SUM(B209:B213)</f>
        <v>0</v>
      </c>
      <c r="C216" s="209">
        <f t="shared" ref="C216:I216" si="47">SUM(C209:C213)</f>
        <v>0</v>
      </c>
      <c r="D216" s="209">
        <f t="shared" si="47"/>
        <v>0</v>
      </c>
      <c r="E216" s="209">
        <f t="shared" si="47"/>
        <v>0.40483247849248483</v>
      </c>
      <c r="F216" s="209">
        <f t="shared" si="47"/>
        <v>0.13167521507515195</v>
      </c>
      <c r="G216" s="209">
        <f t="shared" si="47"/>
        <v>7.5128226127277875E-3</v>
      </c>
      <c r="H216" s="209">
        <f t="shared" si="47"/>
        <v>-0.10423333060345363</v>
      </c>
      <c r="I216" s="209">
        <f t="shared" si="47"/>
        <v>-0.16631452683466574</v>
      </c>
      <c r="J216" s="209">
        <f>SUM(J209:J213)</f>
        <v>0.27347265874224513</v>
      </c>
    </row>
    <row r="217" spans="1:10">
      <c r="A217" s="15" t="s">
        <v>16</v>
      </c>
      <c r="B217" s="63">
        <f t="shared" ref="B217:I217" si="48">+B197</f>
        <v>4.2</v>
      </c>
      <c r="C217" s="63">
        <f t="shared" si="48"/>
        <v>1</v>
      </c>
      <c r="D217" s="63">
        <f t="shared" si="48"/>
        <v>1.4</v>
      </c>
      <c r="E217" s="63">
        <f t="shared" si="48"/>
        <v>1</v>
      </c>
      <c r="F217" s="63">
        <f t="shared" si="48"/>
        <v>2.5</v>
      </c>
      <c r="G217" s="63">
        <f t="shared" si="48"/>
        <v>2</v>
      </c>
      <c r="H217" s="63">
        <f t="shared" si="48"/>
        <v>1.2</v>
      </c>
      <c r="I217" s="63">
        <f t="shared" si="48"/>
        <v>1.3</v>
      </c>
      <c r="J217" s="225">
        <f t="shared" si="45"/>
        <v>14.6</v>
      </c>
    </row>
    <row r="218" spans="1:10">
      <c r="A218" s="15" t="s">
        <v>17</v>
      </c>
      <c r="B218" s="62"/>
      <c r="C218" s="62"/>
      <c r="D218" s="62"/>
      <c r="E218" s="62"/>
      <c r="F218" s="62"/>
      <c r="G218" s="62"/>
      <c r="H218" s="62"/>
      <c r="I218" s="62"/>
      <c r="J218" s="225">
        <f t="shared" si="45"/>
        <v>0</v>
      </c>
    </row>
    <row r="219" spans="1:10">
      <c r="A219" s="15" t="s">
        <v>51</v>
      </c>
      <c r="B219" s="210"/>
      <c r="C219" s="210"/>
      <c r="D219" s="210"/>
      <c r="E219" s="210"/>
      <c r="F219" s="210"/>
      <c r="G219" s="210"/>
      <c r="H219" s="210"/>
      <c r="I219" s="210"/>
      <c r="J219" s="225">
        <f t="shared" si="45"/>
        <v>0</v>
      </c>
    </row>
    <row r="220" spans="1:10">
      <c r="A220" s="25" t="s">
        <v>19</v>
      </c>
      <c r="B220" s="209">
        <f>SUM(B217:B219)</f>
        <v>4.2</v>
      </c>
      <c r="C220" s="209">
        <f t="shared" ref="C220:I220" si="49">SUM(C217:C219)</f>
        <v>1</v>
      </c>
      <c r="D220" s="209">
        <f t="shared" si="49"/>
        <v>1.4</v>
      </c>
      <c r="E220" s="209">
        <f t="shared" si="49"/>
        <v>1</v>
      </c>
      <c r="F220" s="209">
        <f t="shared" si="49"/>
        <v>2.5</v>
      </c>
      <c r="G220" s="209">
        <f t="shared" si="49"/>
        <v>2</v>
      </c>
      <c r="H220" s="209">
        <f t="shared" si="49"/>
        <v>1.2</v>
      </c>
      <c r="I220" s="209">
        <f t="shared" si="49"/>
        <v>1.3</v>
      </c>
      <c r="J220" s="209">
        <f>SUM(J217:J219)</f>
        <v>14.6</v>
      </c>
    </row>
    <row r="221" spans="1:10">
      <c r="A221" s="32" t="s">
        <v>20</v>
      </c>
      <c r="B221" s="62"/>
      <c r="C221" s="192"/>
      <c r="D221" s="276"/>
      <c r="E221" s="225"/>
      <c r="F221" s="277"/>
      <c r="G221" s="225"/>
      <c r="H221" s="277"/>
      <c r="I221" s="225"/>
      <c r="J221" s="225">
        <f t="shared" ref="J221:J227" si="50">SUM(B221:I221)</f>
        <v>0</v>
      </c>
    </row>
    <row r="222" spans="1:10">
      <c r="A222" s="32" t="s">
        <v>21</v>
      </c>
      <c r="B222" s="189"/>
      <c r="C222" s="225"/>
      <c r="D222" s="276"/>
      <c r="E222" s="225"/>
      <c r="F222" s="277"/>
      <c r="G222" s="225"/>
      <c r="H222" s="277"/>
      <c r="I222" s="225"/>
      <c r="J222" s="225">
        <f t="shared" si="50"/>
        <v>0</v>
      </c>
    </row>
    <row r="223" spans="1:10">
      <c r="A223" s="32" t="s">
        <v>22</v>
      </c>
      <c r="B223" s="189"/>
      <c r="C223" s="225"/>
      <c r="D223" s="276"/>
      <c r="E223" s="225"/>
      <c r="F223" s="277"/>
      <c r="G223" s="225"/>
      <c r="H223" s="277"/>
      <c r="I223" s="225"/>
      <c r="J223" s="225">
        <f t="shared" si="50"/>
        <v>0</v>
      </c>
    </row>
    <row r="224" spans="1:10">
      <c r="A224" s="32" t="s">
        <v>23</v>
      </c>
      <c r="B224" s="189"/>
      <c r="C224" s="225"/>
      <c r="D224" s="276"/>
      <c r="E224" s="225"/>
      <c r="F224" s="277"/>
      <c r="G224" s="225"/>
      <c r="H224" s="277"/>
      <c r="I224" s="225"/>
      <c r="J224" s="225">
        <f t="shared" si="50"/>
        <v>0</v>
      </c>
    </row>
    <row r="225" spans="1:10">
      <c r="A225" s="32" t="s">
        <v>24</v>
      </c>
      <c r="B225" s="189"/>
      <c r="C225" s="225"/>
      <c r="D225" s="276"/>
      <c r="E225" s="225"/>
      <c r="F225" s="277"/>
      <c r="G225" s="225"/>
      <c r="H225" s="277"/>
      <c r="I225" s="225"/>
      <c r="J225" s="225">
        <f t="shared" si="50"/>
        <v>0</v>
      </c>
    </row>
    <row r="226" spans="1:10">
      <c r="A226" s="32" t="s">
        <v>25</v>
      </c>
      <c r="B226" s="189">
        <f>B199+B193</f>
        <v>0.5</v>
      </c>
      <c r="C226" s="189">
        <f t="shared" ref="C226:J226" si="51">C199+C193</f>
        <v>0.5</v>
      </c>
      <c r="D226" s="189">
        <f t="shared" si="51"/>
        <v>0.5</v>
      </c>
      <c r="E226" s="189">
        <f t="shared" si="51"/>
        <v>0.64071737812408069</v>
      </c>
      <c r="F226" s="189">
        <f t="shared" si="51"/>
        <v>-1.0071737812408053</v>
      </c>
      <c r="G226" s="189">
        <f t="shared" si="51"/>
        <v>-1.7107606718612094</v>
      </c>
      <c r="H226" s="189">
        <f t="shared" si="51"/>
        <v>-2.3439888734195713</v>
      </c>
      <c r="I226" s="189">
        <f t="shared" si="51"/>
        <v>-2.6957823187297727</v>
      </c>
      <c r="J226" s="225">
        <f t="shared" si="51"/>
        <v>-5.6169882671272777</v>
      </c>
    </row>
    <row r="227" spans="1:10">
      <c r="A227" s="22" t="s">
        <v>57</v>
      </c>
      <c r="B227" s="197">
        <f>B199</f>
        <v>0</v>
      </c>
      <c r="C227" s="197">
        <f t="shared" ref="C227:I227" si="52">C199</f>
        <v>0</v>
      </c>
      <c r="D227" s="197">
        <f t="shared" si="52"/>
        <v>0</v>
      </c>
      <c r="E227" s="197">
        <f t="shared" si="52"/>
        <v>0.14071737812408072</v>
      </c>
      <c r="F227" s="197">
        <f t="shared" si="52"/>
        <v>-1.4071737812408054</v>
      </c>
      <c r="G227" s="197">
        <f t="shared" si="52"/>
        <v>-2.1107606718612093</v>
      </c>
      <c r="H227" s="197">
        <f t="shared" si="52"/>
        <v>-2.7439888734195712</v>
      </c>
      <c r="I227" s="197">
        <f t="shared" si="52"/>
        <v>-3.0957823187297726</v>
      </c>
      <c r="J227" s="227">
        <f t="shared" si="50"/>
        <v>-9.2169882671272774</v>
      </c>
    </row>
    <row r="228" spans="1:10">
      <c r="A228" s="36" t="s">
        <v>27</v>
      </c>
      <c r="B228" s="229">
        <f>SUM(B221:B226)</f>
        <v>0.5</v>
      </c>
      <c r="C228" s="229">
        <f t="shared" ref="C228:J228" si="53">SUM(C221:C226)</f>
        <v>0.5</v>
      </c>
      <c r="D228" s="229">
        <f t="shared" si="53"/>
        <v>0.5</v>
      </c>
      <c r="E228" s="229">
        <f t="shared" si="53"/>
        <v>0.64071737812408069</v>
      </c>
      <c r="F228" s="229">
        <f t="shared" si="53"/>
        <v>-1.0071737812408053</v>
      </c>
      <c r="G228" s="229">
        <f t="shared" si="53"/>
        <v>-1.7107606718612094</v>
      </c>
      <c r="H228" s="229">
        <f t="shared" si="53"/>
        <v>-2.3439888734195713</v>
      </c>
      <c r="I228" s="229">
        <f t="shared" si="53"/>
        <v>-2.6957823187297727</v>
      </c>
      <c r="J228" s="229">
        <f t="shared" si="53"/>
        <v>-5.6169882671272777</v>
      </c>
    </row>
    <row r="229" spans="1:10">
      <c r="A229" s="32" t="s">
        <v>28</v>
      </c>
      <c r="B229" s="235"/>
      <c r="C229" s="236"/>
      <c r="D229" s="278"/>
      <c r="E229" s="236"/>
      <c r="F229" s="279"/>
      <c r="G229" s="236"/>
      <c r="H229" s="279"/>
      <c r="I229" s="236"/>
      <c r="J229" s="236">
        <f>SUM(B229:I229)</f>
        <v>0</v>
      </c>
    </row>
    <row r="230" spans="1:10">
      <c r="A230" s="32" t="s">
        <v>29</v>
      </c>
      <c r="B230" s="235"/>
      <c r="C230" s="236"/>
      <c r="D230" s="278"/>
      <c r="E230" s="236"/>
      <c r="F230" s="279"/>
      <c r="G230" s="236"/>
      <c r="H230" s="279"/>
      <c r="I230" s="236"/>
      <c r="J230" s="236">
        <f>SUM(B230:I230)</f>
        <v>0</v>
      </c>
    </row>
    <row r="231" spans="1:10">
      <c r="A231" s="40" t="s">
        <v>30</v>
      </c>
      <c r="B231" s="189"/>
      <c r="C231" s="225"/>
      <c r="D231" s="276"/>
      <c r="E231" s="225"/>
      <c r="F231" s="277"/>
      <c r="G231" s="225"/>
      <c r="H231" s="277"/>
      <c r="I231" s="225"/>
      <c r="J231" s="62">
        <f>SUM(B231:I231)</f>
        <v>0</v>
      </c>
    </row>
    <row r="232" spans="1:10">
      <c r="A232" s="41" t="s">
        <v>31</v>
      </c>
      <c r="B232" s="229">
        <f>SUM(B228,B231)</f>
        <v>0.5</v>
      </c>
      <c r="C232" s="229">
        <f t="shared" ref="C232:J232" si="54">SUM(C228,C231)</f>
        <v>0.5</v>
      </c>
      <c r="D232" s="229">
        <f t="shared" si="54"/>
        <v>0.5</v>
      </c>
      <c r="E232" s="229">
        <f t="shared" si="54"/>
        <v>0.64071737812408069</v>
      </c>
      <c r="F232" s="229">
        <f t="shared" si="54"/>
        <v>-1.0071737812408053</v>
      </c>
      <c r="G232" s="229">
        <f t="shared" si="54"/>
        <v>-1.7107606718612094</v>
      </c>
      <c r="H232" s="229">
        <f t="shared" si="54"/>
        <v>-2.3439888734195713</v>
      </c>
      <c r="I232" s="229">
        <f t="shared" si="54"/>
        <v>-2.6957823187297727</v>
      </c>
      <c r="J232" s="229">
        <f t="shared" si="54"/>
        <v>-5.6169882671272777</v>
      </c>
    </row>
    <row r="233" spans="1:10">
      <c r="A233" s="280" t="s">
        <v>33</v>
      </c>
      <c r="B233" s="229">
        <f>SUM(B232,B220,B216)</f>
        <v>4.7</v>
      </c>
      <c r="C233" s="229">
        <f t="shared" ref="C233:J233" si="55">SUM(C232,C220,C216)</f>
        <v>1.5</v>
      </c>
      <c r="D233" s="229">
        <f t="shared" si="55"/>
        <v>1.9</v>
      </c>
      <c r="E233" s="229">
        <f t="shared" si="55"/>
        <v>2.0455498566165655</v>
      </c>
      <c r="F233" s="229">
        <f t="shared" si="55"/>
        <v>1.6245014338343466</v>
      </c>
      <c r="G233" s="229">
        <f t="shared" si="55"/>
        <v>0.2967521507515184</v>
      </c>
      <c r="H233" s="229">
        <f t="shared" si="55"/>
        <v>-1.2482222040230249</v>
      </c>
      <c r="I233" s="229">
        <f t="shared" si="55"/>
        <v>-1.5620968455644384</v>
      </c>
      <c r="J233" s="229">
        <f t="shared" si="55"/>
        <v>9.2564843916149666</v>
      </c>
    </row>
    <row r="234" spans="1:10">
      <c r="G234" s="281"/>
    </row>
    <row r="235" spans="1:10">
      <c r="B235" s="282"/>
      <c r="C235" s="282"/>
      <c r="D235" s="282"/>
      <c r="E235" s="282"/>
      <c r="F235" s="282"/>
      <c r="G235" s="282"/>
      <c r="H235" s="282"/>
      <c r="I235" s="282"/>
      <c r="J235" s="282"/>
    </row>
    <row r="237" spans="1:10">
      <c r="A237" s="7" t="s">
        <v>74</v>
      </c>
    </row>
    <row r="238" spans="1:10">
      <c r="A238" s="7" t="s">
        <v>75</v>
      </c>
    </row>
  </sheetData>
  <mergeCells count="14">
    <mergeCell ref="B9:E10"/>
    <mergeCell ref="F9:F10"/>
    <mergeCell ref="G9:I10"/>
    <mergeCell ref="J9:J11"/>
    <mergeCell ref="B59:F60"/>
    <mergeCell ref="G59:I60"/>
    <mergeCell ref="B190:J190"/>
    <mergeCell ref="B207:J207"/>
    <mergeCell ref="M59:U60"/>
    <mergeCell ref="X59:AF60"/>
    <mergeCell ref="B110:J110"/>
    <mergeCell ref="M110:U110"/>
    <mergeCell ref="X110:AF110"/>
    <mergeCell ref="B151:J151"/>
  </mergeCells>
  <conditionalFormatting sqref="J187">
    <cfRule type="cellIs" dxfId="1" priority="2" operator="equal">
      <formula>"error"</formula>
    </cfRule>
  </conditionalFormatting>
  <conditionalFormatting sqref="B187">
    <cfRule type="cellIs" dxfId="0" priority="1" operator="equal">
      <formula>"error"</formula>
    </cfRule>
  </conditionalFormatting>
  <dataValidations count="1">
    <dataValidation type="list" allowBlank="1" showInputMessage="1" showErrorMessage="1" sqref="B1">
      <formula1>B935:B940</formula1>
    </dataValidation>
  </dataValidations>
  <pageMargins left="0.70866141732283472" right="0.70866141732283472" top="0.74803149606299213" bottom="0.74803149606299213" header="0.31496062992125984" footer="0.31496062992125984"/>
  <pageSetup paperSize="8" scale="39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06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I93"/>
  <sheetViews>
    <sheetView view="pageBreakPreview" zoomScale="85" zoomScaleNormal="85" zoomScaleSheetLayoutView="85" workbookViewId="0">
      <selection activeCell="C36" sqref="C36"/>
    </sheetView>
  </sheetViews>
  <sheetFormatPr defaultColWidth="9.109375" defaultRowHeight="12.6"/>
  <cols>
    <col min="1" max="1" width="33.6640625" style="7" customWidth="1"/>
    <col min="2" max="2" width="19.88671875" style="7" customWidth="1"/>
    <col min="3" max="4" width="15" style="7" customWidth="1"/>
    <col min="5" max="5" width="15" style="8" customWidth="1"/>
    <col min="6" max="12" width="15" style="7" customWidth="1"/>
    <col min="13" max="13" width="32.88671875" style="7" customWidth="1"/>
    <col min="14" max="14" width="9.109375" style="7"/>
    <col min="15" max="15" width="10.33203125" style="7" customWidth="1"/>
    <col min="16" max="16" width="11.109375" style="7" bestFit="1" customWidth="1"/>
    <col min="17" max="17" width="11.109375" style="8" bestFit="1" customWidth="1"/>
    <col min="18" max="19" width="11.109375" style="7" bestFit="1" customWidth="1"/>
    <col min="20" max="22" width="9.5546875" style="7" bestFit="1" customWidth="1"/>
    <col min="23" max="23" width="13.44140625" style="7" bestFit="1" customWidth="1"/>
    <col min="24" max="24" width="9.109375" style="7"/>
    <col min="25" max="25" width="32.44140625" style="7" customWidth="1"/>
    <col min="26" max="26" width="9.109375" style="7"/>
    <col min="27" max="30" width="12.6640625" style="7" bestFit="1" customWidth="1"/>
    <col min="31" max="34" width="11" style="7" bestFit="1" customWidth="1"/>
    <col min="35" max="35" width="14.6640625" style="7" bestFit="1" customWidth="1"/>
    <col min="36" max="16384" width="9.109375" style="7"/>
  </cols>
  <sheetData>
    <row r="1" spans="1:35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5" spans="1:35" ht="19.8">
      <c r="A5" s="1" t="s">
        <v>76</v>
      </c>
    </row>
    <row r="7" spans="1:35">
      <c r="A7" s="8" t="s">
        <v>77</v>
      </c>
      <c r="B7" s="8"/>
    </row>
    <row r="9" spans="1:35" ht="12.75" customHeight="1">
      <c r="A9" s="10"/>
      <c r="B9" s="283"/>
      <c r="C9" s="649" t="s">
        <v>3</v>
      </c>
      <c r="D9" s="650"/>
      <c r="E9" s="650"/>
      <c r="F9" s="651"/>
      <c r="G9" s="655" t="s">
        <v>4</v>
      </c>
      <c r="H9" s="657" t="s">
        <v>5</v>
      </c>
      <c r="I9" s="657"/>
      <c r="J9" s="658"/>
      <c r="K9" s="659" t="s">
        <v>6</v>
      </c>
    </row>
    <row r="10" spans="1:35">
      <c r="A10" s="11"/>
      <c r="B10" s="284"/>
      <c r="C10" s="652"/>
      <c r="D10" s="653"/>
      <c r="E10" s="653"/>
      <c r="F10" s="654"/>
      <c r="G10" s="656"/>
      <c r="H10" s="647"/>
      <c r="I10" s="647"/>
      <c r="J10" s="648"/>
      <c r="K10" s="660"/>
    </row>
    <row r="11" spans="1:35">
      <c r="A11" s="12" t="s">
        <v>78</v>
      </c>
      <c r="B11" s="285"/>
      <c r="C11" s="286">
        <v>2014</v>
      </c>
      <c r="D11" s="287">
        <v>2015</v>
      </c>
      <c r="E11" s="287">
        <v>2016</v>
      </c>
      <c r="F11" s="287">
        <v>2017</v>
      </c>
      <c r="G11" s="287">
        <v>2018</v>
      </c>
      <c r="H11" s="287">
        <v>2019</v>
      </c>
      <c r="I11" s="287">
        <v>2020</v>
      </c>
      <c r="J11" s="287">
        <v>2021</v>
      </c>
      <c r="K11" s="661"/>
    </row>
    <row r="12" spans="1:35">
      <c r="A12" s="288" t="s">
        <v>79</v>
      </c>
      <c r="B12" s="289"/>
      <c r="C12" s="290"/>
      <c r="D12" s="291"/>
      <c r="E12" s="292"/>
      <c r="F12" s="293"/>
      <c r="G12" s="294"/>
      <c r="H12" s="294"/>
      <c r="I12" s="294"/>
      <c r="J12" s="294"/>
      <c r="K12" s="295"/>
    </row>
    <row r="13" spans="1:35" ht="13.8">
      <c r="A13" s="296" t="s">
        <v>80</v>
      </c>
      <c r="B13" s="297" t="s">
        <v>81</v>
      </c>
      <c r="C13" s="298">
        <v>5636</v>
      </c>
      <c r="D13" s="298">
        <v>6424</v>
      </c>
      <c r="E13" s="298">
        <v>5569</v>
      </c>
      <c r="F13" s="298">
        <v>6421</v>
      </c>
      <c r="G13" s="299">
        <v>6052</v>
      </c>
      <c r="H13" s="300">
        <v>6660.3641584023762</v>
      </c>
      <c r="I13" s="300">
        <v>6530.7659787242183</v>
      </c>
      <c r="J13" s="300">
        <v>6568.6635375345559</v>
      </c>
      <c r="K13" s="301">
        <f>SUM(C13:J13)</f>
        <v>49861.793674661152</v>
      </c>
    </row>
    <row r="14" spans="1:35" ht="13.8">
      <c r="A14" s="296" t="s">
        <v>82</v>
      </c>
      <c r="B14" s="302" t="s">
        <v>81</v>
      </c>
      <c r="C14" s="303">
        <v>6317</v>
      </c>
      <c r="D14" s="303">
        <v>5417</v>
      </c>
      <c r="E14" s="303">
        <v>5943</v>
      </c>
      <c r="F14" s="303">
        <v>5621</v>
      </c>
      <c r="G14" s="304">
        <v>5249</v>
      </c>
      <c r="H14" s="305">
        <v>5776.6443270743675</v>
      </c>
      <c r="I14" s="305">
        <v>5664.2416758630898</v>
      </c>
      <c r="J14" s="305">
        <v>5697.110857323014</v>
      </c>
      <c r="K14" s="306">
        <f>SUM(C14:J14)</f>
        <v>45684.996860260479</v>
      </c>
    </row>
    <row r="15" spans="1:35" ht="13.8">
      <c r="A15" s="296" t="s">
        <v>83</v>
      </c>
      <c r="B15" s="307" t="s">
        <v>81</v>
      </c>
      <c r="C15" s="308">
        <v>2</v>
      </c>
      <c r="D15" s="308">
        <v>7</v>
      </c>
      <c r="E15" s="308">
        <v>1</v>
      </c>
      <c r="F15" s="308">
        <v>0</v>
      </c>
      <c r="G15" s="309">
        <v>0</v>
      </c>
      <c r="H15" s="310">
        <v>0</v>
      </c>
      <c r="I15" s="310">
        <v>0</v>
      </c>
      <c r="J15" s="310">
        <v>0</v>
      </c>
      <c r="K15" s="311">
        <f>SUM(C15:J15)</f>
        <v>10</v>
      </c>
    </row>
    <row r="16" spans="1:35">
      <c r="A16" s="312"/>
      <c r="B16" s="313"/>
      <c r="C16" s="314"/>
      <c r="D16" s="314"/>
      <c r="E16" s="314"/>
      <c r="F16" s="314"/>
      <c r="G16" s="315"/>
      <c r="H16" s="316"/>
      <c r="I16" s="316"/>
      <c r="J16" s="316"/>
      <c r="K16" s="301"/>
    </row>
    <row r="17" spans="1:13">
      <c r="A17" s="317" t="s">
        <v>84</v>
      </c>
      <c r="B17" s="318"/>
      <c r="C17" s="319"/>
      <c r="D17" s="319"/>
      <c r="E17" s="319"/>
      <c r="F17" s="319"/>
      <c r="G17" s="320"/>
      <c r="H17" s="321"/>
      <c r="I17" s="321"/>
      <c r="J17" s="321"/>
      <c r="K17" s="311"/>
    </row>
    <row r="18" spans="1:13">
      <c r="A18" s="296" t="s">
        <v>85</v>
      </c>
      <c r="B18" s="322" t="s">
        <v>86</v>
      </c>
      <c r="C18" s="323">
        <v>11.31808</v>
      </c>
      <c r="D18" s="323">
        <v>13.440419999999998</v>
      </c>
      <c r="E18" s="323">
        <v>9.82315</v>
      </c>
      <c r="F18" s="323">
        <v>12.604220000000002</v>
      </c>
      <c r="G18" s="323">
        <v>17.505200000000002</v>
      </c>
      <c r="H18" s="324">
        <v>18.399999999999999</v>
      </c>
      <c r="I18" s="324">
        <v>18.399999999999999</v>
      </c>
      <c r="J18" s="324">
        <v>18.399999999999999</v>
      </c>
      <c r="K18" s="325">
        <f t="shared" ref="K18:K25" si="0">SUM(C18:J18)</f>
        <v>119.89107000000001</v>
      </c>
    </row>
    <row r="19" spans="1:13" ht="13.8">
      <c r="A19" s="296" t="s">
        <v>87</v>
      </c>
      <c r="B19" s="302" t="s">
        <v>81</v>
      </c>
      <c r="C19" s="304">
        <v>0</v>
      </c>
      <c r="D19" s="304">
        <v>0</v>
      </c>
      <c r="E19" s="304">
        <v>4</v>
      </c>
      <c r="F19" s="304">
        <v>0</v>
      </c>
      <c r="G19" s="304">
        <v>1</v>
      </c>
      <c r="H19" s="305">
        <v>4</v>
      </c>
      <c r="I19" s="305">
        <v>4</v>
      </c>
      <c r="J19" s="305">
        <v>4</v>
      </c>
      <c r="K19" s="326">
        <f t="shared" si="0"/>
        <v>17</v>
      </c>
    </row>
    <row r="20" spans="1:13" ht="13.8">
      <c r="A20" s="296" t="s">
        <v>88</v>
      </c>
      <c r="B20" s="307" t="s">
        <v>81</v>
      </c>
      <c r="C20" s="309">
        <v>11498</v>
      </c>
      <c r="D20" s="309">
        <v>11294</v>
      </c>
      <c r="E20" s="309">
        <v>11640</v>
      </c>
      <c r="F20" s="309">
        <v>11933</v>
      </c>
      <c r="G20" s="309">
        <v>11074</v>
      </c>
      <c r="H20" s="310">
        <v>11038.762822640016</v>
      </c>
      <c r="I20" s="310">
        <v>10530.741256921978</v>
      </c>
      <c r="J20" s="310">
        <v>10177.562747125978</v>
      </c>
      <c r="K20" s="311">
        <f t="shared" si="0"/>
        <v>89186.066826687966</v>
      </c>
    </row>
    <row r="21" spans="1:13" ht="13.8">
      <c r="A21" s="296" t="s">
        <v>89</v>
      </c>
      <c r="B21" s="297" t="s">
        <v>81</v>
      </c>
      <c r="C21" s="298">
        <v>2898</v>
      </c>
      <c r="D21" s="298">
        <v>3595</v>
      </c>
      <c r="E21" s="298">
        <v>3878</v>
      </c>
      <c r="F21" s="298">
        <v>4463</v>
      </c>
      <c r="G21" s="299">
        <v>4370</v>
      </c>
      <c r="H21" s="300">
        <v>4248.6628226400162</v>
      </c>
      <c r="I21" s="300">
        <v>4226.9412569219776</v>
      </c>
      <c r="J21" s="300">
        <v>4060.0627471259781</v>
      </c>
      <c r="K21" s="301">
        <f t="shared" si="0"/>
        <v>31739.666826687975</v>
      </c>
    </row>
    <row r="22" spans="1:13" ht="13.8">
      <c r="A22" s="296" t="s">
        <v>90</v>
      </c>
      <c r="B22" s="302" t="s">
        <v>81</v>
      </c>
      <c r="C22" s="303">
        <v>5381</v>
      </c>
      <c r="D22" s="303">
        <v>5508</v>
      </c>
      <c r="E22" s="303">
        <v>5563</v>
      </c>
      <c r="F22" s="303">
        <v>5235</v>
      </c>
      <c r="G22" s="304">
        <v>4998</v>
      </c>
      <c r="H22" s="305">
        <v>5080.0999999999995</v>
      </c>
      <c r="I22" s="305">
        <v>4993.7999999999993</v>
      </c>
      <c r="J22" s="305">
        <v>4907.5</v>
      </c>
      <c r="K22" s="306">
        <f t="shared" si="0"/>
        <v>41666.399999999994</v>
      </c>
    </row>
    <row r="23" spans="1:13" ht="13.8">
      <c r="A23" s="296" t="s">
        <v>91</v>
      </c>
      <c r="B23" s="302" t="s">
        <v>81</v>
      </c>
      <c r="C23" s="303">
        <v>587</v>
      </c>
      <c r="D23" s="303">
        <v>530</v>
      </c>
      <c r="E23" s="303">
        <v>640</v>
      </c>
      <c r="F23" s="303">
        <v>639</v>
      </c>
      <c r="G23" s="304">
        <v>655</v>
      </c>
      <c r="H23" s="305">
        <v>610</v>
      </c>
      <c r="I23" s="305">
        <v>610</v>
      </c>
      <c r="J23" s="305">
        <v>610</v>
      </c>
      <c r="K23" s="306">
        <f t="shared" si="0"/>
        <v>4881</v>
      </c>
    </row>
    <row r="24" spans="1:13" ht="13.8">
      <c r="A24" s="296" t="s">
        <v>92</v>
      </c>
      <c r="B24" s="307" t="s">
        <v>81</v>
      </c>
      <c r="C24" s="308">
        <v>2632</v>
      </c>
      <c r="D24" s="308">
        <v>1661</v>
      </c>
      <c r="E24" s="308">
        <v>1559</v>
      </c>
      <c r="F24" s="308">
        <v>1596</v>
      </c>
      <c r="G24" s="309">
        <v>1051</v>
      </c>
      <c r="H24" s="310">
        <v>1363.6666666666667</v>
      </c>
      <c r="I24" s="310">
        <v>1363.6666666666667</v>
      </c>
      <c r="J24" s="310">
        <v>1363.6666666666667</v>
      </c>
      <c r="K24" s="311">
        <f t="shared" si="0"/>
        <v>12589.999999999998</v>
      </c>
      <c r="M24" s="327"/>
    </row>
    <row r="25" spans="1:13" ht="13.8">
      <c r="A25" s="296" t="s">
        <v>93</v>
      </c>
      <c r="B25" s="328" t="s">
        <v>94</v>
      </c>
      <c r="C25" s="329">
        <v>94</v>
      </c>
      <c r="D25" s="329">
        <v>90</v>
      </c>
      <c r="E25" s="329">
        <v>35</v>
      </c>
      <c r="F25" s="329">
        <v>24</v>
      </c>
      <c r="G25" s="329">
        <v>16</v>
      </c>
      <c r="H25" s="330">
        <v>12</v>
      </c>
      <c r="I25" s="330">
        <v>12</v>
      </c>
      <c r="J25" s="330">
        <v>12</v>
      </c>
      <c r="K25" s="331">
        <f t="shared" si="0"/>
        <v>295</v>
      </c>
    </row>
    <row r="26" spans="1:13">
      <c r="A26" s="296"/>
      <c r="B26" s="313"/>
      <c r="C26" s="314"/>
      <c r="D26" s="314"/>
      <c r="E26" s="314"/>
      <c r="F26" s="314"/>
      <c r="G26" s="315"/>
      <c r="H26" s="316"/>
      <c r="I26" s="316"/>
      <c r="J26" s="316"/>
      <c r="K26" s="301"/>
    </row>
    <row r="27" spans="1:13">
      <c r="A27" s="332" t="s">
        <v>95</v>
      </c>
      <c r="B27" s="318"/>
      <c r="C27" s="319"/>
      <c r="D27" s="319"/>
      <c r="E27" s="319"/>
      <c r="F27" s="319"/>
      <c r="G27" s="320"/>
      <c r="H27" s="321"/>
      <c r="I27" s="321"/>
      <c r="J27" s="321"/>
      <c r="K27" s="311"/>
    </row>
    <row r="28" spans="1:13">
      <c r="A28" s="296" t="s">
        <v>96</v>
      </c>
      <c r="B28" s="322" t="s">
        <v>86</v>
      </c>
      <c r="C28" s="333">
        <v>332.46311999999995</v>
      </c>
      <c r="D28" s="334">
        <v>365.60753999999991</v>
      </c>
      <c r="E28" s="334">
        <v>345.08439000000033</v>
      </c>
      <c r="F28" s="334">
        <v>336.21429999999918</v>
      </c>
      <c r="G28" s="334">
        <v>302.45460000000003</v>
      </c>
      <c r="H28" s="20">
        <v>338.04671666666917</v>
      </c>
      <c r="I28" s="20">
        <v>323.04671666666917</v>
      </c>
      <c r="J28" s="20">
        <v>323.04671666666917</v>
      </c>
      <c r="K28" s="335">
        <f t="shared" ref="K28:K34" si="1">SUM(C28:J28)</f>
        <v>2665.964100000007</v>
      </c>
    </row>
    <row r="29" spans="1:13">
      <c r="A29" s="296" t="s">
        <v>97</v>
      </c>
      <c r="B29" s="336" t="s">
        <v>86</v>
      </c>
      <c r="C29" s="337">
        <v>21.684699999999999</v>
      </c>
      <c r="D29" s="338">
        <v>20.711400000000001</v>
      </c>
      <c r="E29" s="338">
        <v>20.864100000000001</v>
      </c>
      <c r="F29" s="338">
        <v>30.738099999999985</v>
      </c>
      <c r="G29" s="338">
        <v>34.303399999999996</v>
      </c>
      <c r="H29" s="20">
        <v>35.098533333333336</v>
      </c>
      <c r="I29" s="20">
        <v>35.098533333333336</v>
      </c>
      <c r="J29" s="20">
        <v>35.098533333333336</v>
      </c>
      <c r="K29" s="339">
        <f t="shared" si="1"/>
        <v>233.59729999999999</v>
      </c>
    </row>
    <row r="30" spans="1:13">
      <c r="A30" s="296" t="s">
        <v>98</v>
      </c>
      <c r="B30" s="336" t="s">
        <v>86</v>
      </c>
      <c r="C30" s="337">
        <v>1.371</v>
      </c>
      <c r="D30" s="338">
        <v>1.7409000000000001</v>
      </c>
      <c r="E30" s="338">
        <v>0.77210000000000001</v>
      </c>
      <c r="F30" s="338">
        <v>1.1013999999999999</v>
      </c>
      <c r="G30" s="338">
        <v>2.8469000000000002</v>
      </c>
      <c r="H30" s="20">
        <v>0.98209999999999986</v>
      </c>
      <c r="I30" s="20">
        <v>0.98209999999999986</v>
      </c>
      <c r="J30" s="20">
        <v>0.98209999999999986</v>
      </c>
      <c r="K30" s="339">
        <f t="shared" si="1"/>
        <v>10.778599999999997</v>
      </c>
    </row>
    <row r="31" spans="1:13">
      <c r="A31" s="340" t="s">
        <v>99</v>
      </c>
      <c r="B31" s="341" t="s">
        <v>86</v>
      </c>
      <c r="C31" s="337">
        <v>64.840130000000002</v>
      </c>
      <c r="D31" s="338">
        <v>66.752329999999972</v>
      </c>
      <c r="E31" s="338">
        <v>100.33930000000005</v>
      </c>
      <c r="F31" s="338">
        <v>84.644199999999969</v>
      </c>
      <c r="G31" s="338">
        <v>69.894440000000003</v>
      </c>
      <c r="H31" s="20">
        <v>64.746433333333329</v>
      </c>
      <c r="I31" s="20">
        <v>64.746433333333329</v>
      </c>
      <c r="J31" s="20">
        <v>64.746433333333329</v>
      </c>
      <c r="K31" s="339">
        <f t="shared" si="1"/>
        <v>580.7097</v>
      </c>
    </row>
    <row r="32" spans="1:13">
      <c r="A32" s="340" t="s">
        <v>100</v>
      </c>
      <c r="B32" s="341" t="s">
        <v>86</v>
      </c>
      <c r="C32" s="337">
        <v>29.406999999999996</v>
      </c>
      <c r="D32" s="338">
        <v>26.155430000000003</v>
      </c>
      <c r="E32" s="338">
        <v>8.8669299999999982</v>
      </c>
      <c r="F32" s="338">
        <v>18.495099999999994</v>
      </c>
      <c r="G32" s="338">
        <v>9.9227999999997678</v>
      </c>
      <c r="H32" s="20">
        <v>9.8147093894452837</v>
      </c>
      <c r="I32" s="20">
        <v>9.4713518073936598</v>
      </c>
      <c r="J32" s="20">
        <v>9.4713518073936598</v>
      </c>
      <c r="K32" s="339">
        <f t="shared" si="1"/>
        <v>121.60467300423237</v>
      </c>
    </row>
    <row r="33" spans="1:35" ht="13.8">
      <c r="A33" s="296" t="s">
        <v>101</v>
      </c>
      <c r="B33" s="302" t="s">
        <v>81</v>
      </c>
      <c r="C33" s="342">
        <v>19750</v>
      </c>
      <c r="D33" s="342">
        <v>20361</v>
      </c>
      <c r="E33" s="342">
        <v>17308</v>
      </c>
      <c r="F33" s="342">
        <v>17354</v>
      </c>
      <c r="G33" s="343">
        <v>14043</v>
      </c>
      <c r="H33" s="20">
        <v>16098.647579739956</v>
      </c>
      <c r="I33" s="20">
        <v>16098.647579739956</v>
      </c>
      <c r="J33" s="20">
        <v>16098.647579739956</v>
      </c>
      <c r="K33" s="306">
        <f t="shared" si="1"/>
        <v>137111.94273921987</v>
      </c>
    </row>
    <row r="34" spans="1:35" ht="13.8">
      <c r="A34" s="344" t="s">
        <v>102</v>
      </c>
      <c r="B34" s="307" t="s">
        <v>81</v>
      </c>
      <c r="C34" s="345">
        <v>22851</v>
      </c>
      <c r="D34" s="345">
        <v>23770</v>
      </c>
      <c r="E34" s="345">
        <v>21642</v>
      </c>
      <c r="F34" s="345">
        <v>23268</v>
      </c>
      <c r="G34" s="346">
        <v>18083</v>
      </c>
      <c r="H34" s="347">
        <v>23272.333333333332</v>
      </c>
      <c r="I34" s="347">
        <v>23272.333333333332</v>
      </c>
      <c r="J34" s="347">
        <v>23272.333333333332</v>
      </c>
      <c r="K34" s="311">
        <f t="shared" si="1"/>
        <v>179431.00000000003</v>
      </c>
    </row>
    <row r="35" spans="1:35">
      <c r="E35" s="7"/>
    </row>
    <row r="36" spans="1:35">
      <c r="A36" s="8" t="s">
        <v>103</v>
      </c>
      <c r="D36" s="8"/>
      <c r="M36" s="8" t="s">
        <v>49</v>
      </c>
      <c r="P36" s="8"/>
      <c r="Y36" s="8" t="s">
        <v>50</v>
      </c>
      <c r="AB36" s="8"/>
    </row>
    <row r="38" spans="1:35" ht="12.75" customHeight="1">
      <c r="A38" s="10"/>
      <c r="B38" s="283"/>
      <c r="C38" s="662" t="s">
        <v>3</v>
      </c>
      <c r="D38" s="662"/>
      <c r="E38" s="662"/>
      <c r="F38" s="662"/>
      <c r="G38" s="663" t="s">
        <v>104</v>
      </c>
      <c r="H38" s="663"/>
      <c r="I38" s="663"/>
      <c r="J38" s="663"/>
      <c r="K38" s="348"/>
      <c r="M38" s="10"/>
      <c r="N38" s="349"/>
      <c r="O38" s="649" t="s">
        <v>3</v>
      </c>
      <c r="P38" s="650"/>
      <c r="Q38" s="651"/>
      <c r="R38" s="655" t="s">
        <v>4</v>
      </c>
      <c r="S38" s="657" t="s">
        <v>5</v>
      </c>
      <c r="T38" s="657"/>
      <c r="U38" s="657"/>
      <c r="V38" s="658"/>
      <c r="W38" s="348"/>
      <c r="Y38" s="10"/>
      <c r="Z38" s="349"/>
      <c r="AA38" s="649" t="s">
        <v>3</v>
      </c>
      <c r="AB38" s="650"/>
      <c r="AC38" s="651"/>
      <c r="AD38" s="655" t="s">
        <v>4</v>
      </c>
      <c r="AE38" s="657" t="s">
        <v>5</v>
      </c>
      <c r="AF38" s="657"/>
      <c r="AG38" s="657"/>
      <c r="AH38" s="658"/>
      <c r="AI38" s="348"/>
    </row>
    <row r="39" spans="1:35">
      <c r="A39" s="11"/>
      <c r="B39" s="284"/>
      <c r="C39" s="662"/>
      <c r="D39" s="662"/>
      <c r="E39" s="662"/>
      <c r="F39" s="662"/>
      <c r="G39" s="663"/>
      <c r="H39" s="663"/>
      <c r="I39" s="663"/>
      <c r="J39" s="663"/>
      <c r="K39" s="350"/>
      <c r="M39" s="11"/>
      <c r="N39" s="351"/>
      <c r="O39" s="652"/>
      <c r="P39" s="653"/>
      <c r="Q39" s="654"/>
      <c r="R39" s="656"/>
      <c r="S39" s="647"/>
      <c r="T39" s="647"/>
      <c r="U39" s="647"/>
      <c r="V39" s="648"/>
      <c r="W39" s="350"/>
      <c r="Y39" s="11"/>
      <c r="Z39" s="351"/>
      <c r="AA39" s="652"/>
      <c r="AB39" s="653"/>
      <c r="AC39" s="654"/>
      <c r="AD39" s="656"/>
      <c r="AE39" s="647"/>
      <c r="AF39" s="647"/>
      <c r="AG39" s="647"/>
      <c r="AH39" s="648"/>
      <c r="AI39" s="350"/>
    </row>
    <row r="40" spans="1:35" ht="25.2">
      <c r="A40" s="12" t="s">
        <v>78</v>
      </c>
      <c r="B40" s="352" t="s">
        <v>105</v>
      </c>
      <c r="C40" s="286">
        <v>2014</v>
      </c>
      <c r="D40" s="353">
        <v>2015</v>
      </c>
      <c r="E40" s="353">
        <v>2016</v>
      </c>
      <c r="F40" s="354">
        <v>2017</v>
      </c>
      <c r="G40" s="353">
        <v>2018</v>
      </c>
      <c r="H40" s="354">
        <v>2019</v>
      </c>
      <c r="I40" s="353">
        <v>2020</v>
      </c>
      <c r="J40" s="355">
        <v>2021</v>
      </c>
      <c r="K40" s="356" t="s">
        <v>6</v>
      </c>
      <c r="M40" s="12" t="s">
        <v>78</v>
      </c>
      <c r="N40" s="352" t="s">
        <v>105</v>
      </c>
      <c r="O40" s="286">
        <v>2014</v>
      </c>
      <c r="P40" s="353">
        <v>2015</v>
      </c>
      <c r="Q40" s="353">
        <v>2016</v>
      </c>
      <c r="R40" s="354">
        <v>2017</v>
      </c>
      <c r="S40" s="353">
        <v>2018</v>
      </c>
      <c r="T40" s="354">
        <v>2019</v>
      </c>
      <c r="U40" s="353">
        <v>2020</v>
      </c>
      <c r="V40" s="355">
        <v>2021</v>
      </c>
      <c r="W40" s="356" t="s">
        <v>6</v>
      </c>
      <c r="Y40" s="12" t="s">
        <v>78</v>
      </c>
      <c r="Z40" s="352" t="s">
        <v>105</v>
      </c>
      <c r="AA40" s="286">
        <v>2014</v>
      </c>
      <c r="AB40" s="353">
        <v>2015</v>
      </c>
      <c r="AC40" s="353">
        <v>2016</v>
      </c>
      <c r="AD40" s="354">
        <v>2017</v>
      </c>
      <c r="AE40" s="353">
        <v>2018</v>
      </c>
      <c r="AF40" s="354">
        <v>2019</v>
      </c>
      <c r="AG40" s="353">
        <v>2020</v>
      </c>
      <c r="AH40" s="355">
        <v>2021</v>
      </c>
      <c r="AI40" s="356" t="s">
        <v>6</v>
      </c>
    </row>
    <row r="41" spans="1:35">
      <c r="A41" s="288" t="s">
        <v>79</v>
      </c>
      <c r="B41" s="289"/>
      <c r="C41" s="357"/>
      <c r="D41" s="357"/>
      <c r="E41" s="357"/>
      <c r="F41" s="357"/>
      <c r="G41" s="357"/>
      <c r="H41" s="357"/>
      <c r="I41" s="357"/>
      <c r="J41" s="357"/>
      <c r="K41" s="295"/>
      <c r="M41" s="288" t="s">
        <v>79</v>
      </c>
      <c r="N41" s="289"/>
      <c r="O41" s="358"/>
      <c r="P41" s="359"/>
      <c r="Q41" s="358"/>
      <c r="R41" s="359"/>
      <c r="S41" s="359"/>
      <c r="T41" s="359"/>
      <c r="U41" s="359"/>
      <c r="V41" s="359"/>
      <c r="W41" s="360"/>
      <c r="Y41" s="288" t="s">
        <v>79</v>
      </c>
      <c r="Z41" s="289"/>
      <c r="AA41" s="361"/>
      <c r="AB41" s="361"/>
      <c r="AC41" s="361"/>
      <c r="AD41" s="361"/>
      <c r="AE41" s="361"/>
      <c r="AF41" s="361"/>
      <c r="AG41" s="361"/>
      <c r="AH41" s="361"/>
      <c r="AI41" s="295"/>
    </row>
    <row r="42" spans="1:35" ht="13.8">
      <c r="A42" s="296" t="s">
        <v>80</v>
      </c>
      <c r="B42" s="362" t="s">
        <v>81</v>
      </c>
      <c r="C42" s="363">
        <v>5636</v>
      </c>
      <c r="D42" s="363">
        <v>6424</v>
      </c>
      <c r="E42" s="363">
        <v>5569</v>
      </c>
      <c r="F42" s="363">
        <v>6421</v>
      </c>
      <c r="G42" s="363">
        <v>7903.8166666666666</v>
      </c>
      <c r="H42" s="363">
        <v>7179.7700661088365</v>
      </c>
      <c r="I42" s="363">
        <v>7230.1496128168728</v>
      </c>
      <c r="J42" s="363">
        <v>7269.2003556971076</v>
      </c>
      <c r="K42" s="331">
        <f>SUM(C42:J42)</f>
        <v>53632.936701289487</v>
      </c>
      <c r="M42" s="296" t="s">
        <v>80</v>
      </c>
      <c r="N42" s="362" t="s">
        <v>81</v>
      </c>
      <c r="O42" s="364">
        <f>C13-C42</f>
        <v>0</v>
      </c>
      <c r="P42" s="365">
        <f>D13-D42</f>
        <v>0</v>
      </c>
      <c r="Q42" s="364">
        <f>E13-E42</f>
        <v>0</v>
      </c>
      <c r="R42" s="365">
        <f t="shared" ref="R42:W42" si="2">F13-F42</f>
        <v>0</v>
      </c>
      <c r="S42" s="365">
        <f t="shared" si="2"/>
        <v>-1851.8166666666666</v>
      </c>
      <c r="T42" s="365">
        <f t="shared" si="2"/>
        <v>-519.40590770646031</v>
      </c>
      <c r="U42" s="365">
        <f t="shared" si="2"/>
        <v>-699.38363409265457</v>
      </c>
      <c r="V42" s="365">
        <f t="shared" si="2"/>
        <v>-700.53681816255175</v>
      </c>
      <c r="W42" s="364">
        <f t="shared" si="2"/>
        <v>-3771.1430266283351</v>
      </c>
      <c r="Y42" s="296" t="s">
        <v>80</v>
      </c>
      <c r="Z42" s="362" t="s">
        <v>81</v>
      </c>
      <c r="AA42" s="366">
        <f>(C13-C42)/C42</f>
        <v>0</v>
      </c>
      <c r="AB42" s="366">
        <f>(D13-D42)/D42</f>
        <v>0</v>
      </c>
      <c r="AC42" s="366">
        <f>(E13-E42)/E42</f>
        <v>0</v>
      </c>
      <c r="AD42" s="366">
        <f t="shared" ref="AD42:AI42" si="3">(F13-F42)/F42</f>
        <v>0</v>
      </c>
      <c r="AE42" s="366">
        <f t="shared" si="3"/>
        <v>-0.23429398033439541</v>
      </c>
      <c r="AF42" s="366">
        <f t="shared" si="3"/>
        <v>-7.2342972396601923E-2</v>
      </c>
      <c r="AG42" s="366">
        <f t="shared" si="3"/>
        <v>-9.6731557650322819E-2</v>
      </c>
      <c r="AH42" s="366">
        <f t="shared" si="3"/>
        <v>-9.6370547499563461E-2</v>
      </c>
      <c r="AI42" s="367">
        <f t="shared" si="3"/>
        <v>-7.0313938758040567E-2</v>
      </c>
    </row>
    <row r="43" spans="1:35" ht="13.8">
      <c r="A43" s="296" t="s">
        <v>82</v>
      </c>
      <c r="B43" s="362" t="s">
        <v>81</v>
      </c>
      <c r="C43" s="363">
        <v>6317</v>
      </c>
      <c r="D43" s="363">
        <v>5417</v>
      </c>
      <c r="E43" s="363">
        <v>5943</v>
      </c>
      <c r="F43" s="363">
        <v>5621</v>
      </c>
      <c r="G43" s="363">
        <v>5880.4880509518907</v>
      </c>
      <c r="H43" s="363">
        <v>5866.4345620282729</v>
      </c>
      <c r="I43" s="363">
        <v>5846.5366707515814</v>
      </c>
      <c r="J43" s="363">
        <v>5818.1870706088157</v>
      </c>
      <c r="K43" s="331">
        <f>SUM(C43:J43)</f>
        <v>46709.646354340563</v>
      </c>
      <c r="M43" s="296" t="s">
        <v>82</v>
      </c>
      <c r="N43" s="362" t="s">
        <v>81</v>
      </c>
      <c r="O43" s="364">
        <f>C14-C43</f>
        <v>0</v>
      </c>
      <c r="P43" s="365">
        <f>D14-D43</f>
        <v>0</v>
      </c>
      <c r="Q43" s="364">
        <f t="shared" ref="Q43:W44" si="4">E14-E43</f>
        <v>0</v>
      </c>
      <c r="R43" s="365">
        <f t="shared" si="4"/>
        <v>0</v>
      </c>
      <c r="S43" s="365">
        <f t="shared" si="4"/>
        <v>-631.48805095189073</v>
      </c>
      <c r="T43" s="365">
        <f t="shared" si="4"/>
        <v>-89.790234953905383</v>
      </c>
      <c r="U43" s="365">
        <f t="shared" si="4"/>
        <v>-182.2949948884916</v>
      </c>
      <c r="V43" s="365">
        <f t="shared" si="4"/>
        <v>-121.07621328580171</v>
      </c>
      <c r="W43" s="364">
        <f t="shared" si="4"/>
        <v>-1024.649494080084</v>
      </c>
      <c r="Y43" s="296" t="s">
        <v>82</v>
      </c>
      <c r="Z43" s="362" t="s">
        <v>81</v>
      </c>
      <c r="AA43" s="366">
        <f>(C14-C43)/C43</f>
        <v>0</v>
      </c>
      <c r="AB43" s="366">
        <f>(D14-D43)/D43</f>
        <v>0</v>
      </c>
      <c r="AC43" s="366">
        <f t="shared" ref="AC43:AI44" si="5">(E14-E43)/E43</f>
        <v>0</v>
      </c>
      <c r="AD43" s="366">
        <f t="shared" si="5"/>
        <v>0</v>
      </c>
      <c r="AE43" s="366">
        <f t="shared" si="5"/>
        <v>-0.10738701371048105</v>
      </c>
      <c r="AF43" s="366">
        <f t="shared" si="5"/>
        <v>-1.5305759231525651E-2</v>
      </c>
      <c r="AG43" s="366">
        <f t="shared" si="5"/>
        <v>-3.1179996834785489E-2</v>
      </c>
      <c r="AH43" s="366">
        <f t="shared" si="5"/>
        <v>-2.0809955372083334E-2</v>
      </c>
      <c r="AI43" s="367">
        <f t="shared" si="5"/>
        <v>-2.1936571437665506E-2</v>
      </c>
    </row>
    <row r="44" spans="1:35" ht="13.8">
      <c r="A44" s="296" t="s">
        <v>83</v>
      </c>
      <c r="B44" s="362" t="s">
        <v>81</v>
      </c>
      <c r="C44" s="363">
        <v>2</v>
      </c>
      <c r="D44" s="363">
        <v>7</v>
      </c>
      <c r="E44" s="363">
        <v>1</v>
      </c>
      <c r="F44" s="363">
        <v>0</v>
      </c>
      <c r="G44" s="363">
        <v>0</v>
      </c>
      <c r="H44" s="363">
        <v>0</v>
      </c>
      <c r="I44" s="363">
        <v>0</v>
      </c>
      <c r="J44" s="363">
        <v>0</v>
      </c>
      <c r="K44" s="331">
        <f>SUM(C44:J44)</f>
        <v>10</v>
      </c>
      <c r="M44" s="296" t="s">
        <v>83</v>
      </c>
      <c r="N44" s="362" t="s">
        <v>81</v>
      </c>
      <c r="O44" s="364">
        <f>C15-C44</f>
        <v>0</v>
      </c>
      <c r="P44" s="365">
        <f>D15-D44</f>
        <v>0</v>
      </c>
      <c r="Q44" s="364">
        <f t="shared" si="4"/>
        <v>0</v>
      </c>
      <c r="R44" s="365">
        <f t="shared" si="4"/>
        <v>0</v>
      </c>
      <c r="S44" s="365">
        <f t="shared" si="4"/>
        <v>0</v>
      </c>
      <c r="T44" s="365">
        <f t="shared" si="4"/>
        <v>0</v>
      </c>
      <c r="U44" s="365">
        <f t="shared" si="4"/>
        <v>0</v>
      </c>
      <c r="V44" s="365">
        <f t="shared" si="4"/>
        <v>0</v>
      </c>
      <c r="W44" s="364">
        <f t="shared" si="4"/>
        <v>0</v>
      </c>
      <c r="Y44" s="296" t="s">
        <v>83</v>
      </c>
      <c r="Z44" s="362" t="s">
        <v>81</v>
      </c>
      <c r="AA44" s="366">
        <f>(C15-C44)/C44</f>
        <v>0</v>
      </c>
      <c r="AB44" s="366">
        <f>(D15-D44)/D44</f>
        <v>0</v>
      </c>
      <c r="AC44" s="366">
        <f t="shared" si="5"/>
        <v>0</v>
      </c>
      <c r="AD44" s="366" t="e">
        <f t="shared" si="5"/>
        <v>#DIV/0!</v>
      </c>
      <c r="AE44" s="366" t="e">
        <f t="shared" si="5"/>
        <v>#DIV/0!</v>
      </c>
      <c r="AF44" s="366" t="e">
        <f t="shared" si="5"/>
        <v>#DIV/0!</v>
      </c>
      <c r="AG44" s="366" t="e">
        <f t="shared" si="5"/>
        <v>#DIV/0!</v>
      </c>
      <c r="AH44" s="366" t="e">
        <f t="shared" si="5"/>
        <v>#DIV/0!</v>
      </c>
      <c r="AI44" s="367">
        <f t="shared" si="5"/>
        <v>0</v>
      </c>
    </row>
    <row r="45" spans="1:35">
      <c r="A45" s="312"/>
      <c r="B45" s="313"/>
      <c r="C45" s="313"/>
      <c r="D45" s="313"/>
      <c r="E45" s="313"/>
      <c r="F45" s="313"/>
      <c r="G45" s="313"/>
      <c r="H45" s="313"/>
      <c r="I45" s="313"/>
      <c r="J45" s="313"/>
      <c r="K45" s="368"/>
      <c r="M45" s="312"/>
      <c r="N45" s="313"/>
      <c r="O45" s="369"/>
      <c r="P45" s="370"/>
      <c r="Q45" s="369"/>
      <c r="R45" s="370"/>
      <c r="S45" s="370"/>
      <c r="T45" s="370"/>
      <c r="U45" s="370"/>
      <c r="V45" s="370"/>
      <c r="W45" s="369"/>
      <c r="Y45" s="312"/>
      <c r="Z45" s="313"/>
      <c r="AA45" s="371"/>
      <c r="AB45" s="371"/>
      <c r="AC45" s="371"/>
      <c r="AD45" s="371"/>
      <c r="AE45" s="371"/>
      <c r="AF45" s="371"/>
      <c r="AG45" s="371"/>
      <c r="AH45" s="371"/>
      <c r="AI45" s="372"/>
    </row>
    <row r="46" spans="1:35">
      <c r="A46" s="317" t="s">
        <v>84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73"/>
      <c r="M46" s="317" t="s">
        <v>84</v>
      </c>
      <c r="N46" s="318"/>
      <c r="O46" s="374"/>
      <c r="P46" s="375"/>
      <c r="Q46" s="374"/>
      <c r="R46" s="375"/>
      <c r="S46" s="375"/>
      <c r="T46" s="375"/>
      <c r="U46" s="375"/>
      <c r="V46" s="375"/>
      <c r="W46" s="374"/>
      <c r="Y46" s="317" t="s">
        <v>84</v>
      </c>
      <c r="Z46" s="318"/>
      <c r="AA46" s="376"/>
      <c r="AB46" s="376"/>
      <c r="AC46" s="376"/>
      <c r="AD46" s="376"/>
      <c r="AE46" s="376"/>
      <c r="AF46" s="376"/>
      <c r="AG46" s="376"/>
      <c r="AH46" s="376"/>
      <c r="AI46" s="377"/>
    </row>
    <row r="47" spans="1:35">
      <c r="A47" s="296" t="s">
        <v>85</v>
      </c>
      <c r="B47" s="378" t="s">
        <v>86</v>
      </c>
      <c r="C47" s="379">
        <v>11.31808</v>
      </c>
      <c r="D47" s="379">
        <v>13.440419999999998</v>
      </c>
      <c r="E47" s="379">
        <v>9.82315</v>
      </c>
      <c r="F47" s="379">
        <v>12.604220000000002</v>
      </c>
      <c r="G47" s="379">
        <v>23.9</v>
      </c>
      <c r="H47" s="379">
        <v>19.399999999999999</v>
      </c>
      <c r="I47" s="379">
        <v>17.399999999999999</v>
      </c>
      <c r="J47" s="379">
        <v>17.399999999999999</v>
      </c>
      <c r="K47" s="380">
        <f t="shared" ref="K47:K54" si="6">SUM(C47:J47)</f>
        <v>125.28587000000002</v>
      </c>
      <c r="M47" s="296" t="s">
        <v>85</v>
      </c>
      <c r="N47" s="378" t="s">
        <v>86</v>
      </c>
      <c r="O47" s="381">
        <f t="shared" ref="O47:W54" si="7">C18-C47</f>
        <v>0</v>
      </c>
      <c r="P47" s="382">
        <f t="shared" si="7"/>
        <v>0</v>
      </c>
      <c r="Q47" s="381">
        <f t="shared" si="7"/>
        <v>0</v>
      </c>
      <c r="R47" s="382">
        <f t="shared" si="7"/>
        <v>0</v>
      </c>
      <c r="S47" s="382">
        <f t="shared" si="7"/>
        <v>-6.3947999999999965</v>
      </c>
      <c r="T47" s="382">
        <f t="shared" si="7"/>
        <v>-1</v>
      </c>
      <c r="U47" s="382">
        <f t="shared" si="7"/>
        <v>1</v>
      </c>
      <c r="V47" s="382">
        <f t="shared" si="7"/>
        <v>1</v>
      </c>
      <c r="W47" s="383">
        <f t="shared" si="7"/>
        <v>-5.3948000000000036</v>
      </c>
      <c r="Y47" s="296" t="s">
        <v>85</v>
      </c>
      <c r="Z47" s="378" t="s">
        <v>86</v>
      </c>
      <c r="AA47" s="384">
        <f t="shared" ref="AA47:AI54" si="8">(C18-C47)/C47</f>
        <v>0</v>
      </c>
      <c r="AB47" s="384">
        <f t="shared" si="8"/>
        <v>0</v>
      </c>
      <c r="AC47" s="384">
        <f t="shared" si="8"/>
        <v>0</v>
      </c>
      <c r="AD47" s="384">
        <f t="shared" si="8"/>
        <v>0</v>
      </c>
      <c r="AE47" s="384">
        <f t="shared" si="8"/>
        <v>-0.26756485355648524</v>
      </c>
      <c r="AF47" s="384">
        <f t="shared" si="8"/>
        <v>-5.1546391752577324E-2</v>
      </c>
      <c r="AG47" s="384">
        <f t="shared" si="8"/>
        <v>5.7471264367816098E-2</v>
      </c>
      <c r="AH47" s="384">
        <f t="shared" si="8"/>
        <v>5.7471264367816098E-2</v>
      </c>
      <c r="AI47" s="385">
        <f t="shared" si="8"/>
        <v>-4.3059923676947789E-2</v>
      </c>
    </row>
    <row r="48" spans="1:35" ht="13.8">
      <c r="A48" s="296" t="s">
        <v>87</v>
      </c>
      <c r="B48" s="362" t="s">
        <v>81</v>
      </c>
      <c r="C48" s="363">
        <v>0</v>
      </c>
      <c r="D48" s="363">
        <v>0</v>
      </c>
      <c r="E48" s="363">
        <v>4</v>
      </c>
      <c r="F48" s="363">
        <v>0</v>
      </c>
      <c r="G48" s="363">
        <v>4</v>
      </c>
      <c r="H48" s="363">
        <v>4</v>
      </c>
      <c r="I48" s="363">
        <v>4</v>
      </c>
      <c r="J48" s="363">
        <v>4</v>
      </c>
      <c r="K48" s="386">
        <f t="shared" si="6"/>
        <v>20</v>
      </c>
      <c r="M48" s="296" t="s">
        <v>87</v>
      </c>
      <c r="N48" s="362" t="s">
        <v>81</v>
      </c>
      <c r="O48" s="364">
        <f t="shared" si="7"/>
        <v>0</v>
      </c>
      <c r="P48" s="365">
        <f t="shared" si="7"/>
        <v>0</v>
      </c>
      <c r="Q48" s="364">
        <f t="shared" si="7"/>
        <v>0</v>
      </c>
      <c r="R48" s="365">
        <f t="shared" si="7"/>
        <v>0</v>
      </c>
      <c r="S48" s="365">
        <f t="shared" si="7"/>
        <v>-3</v>
      </c>
      <c r="T48" s="365">
        <f t="shared" si="7"/>
        <v>0</v>
      </c>
      <c r="U48" s="365">
        <f t="shared" si="7"/>
        <v>0</v>
      </c>
      <c r="V48" s="365">
        <f t="shared" si="7"/>
        <v>0</v>
      </c>
      <c r="W48" s="387">
        <f t="shared" si="7"/>
        <v>-3</v>
      </c>
      <c r="Y48" s="296" t="s">
        <v>87</v>
      </c>
      <c r="Z48" s="362" t="s">
        <v>81</v>
      </c>
      <c r="AA48" s="366" t="e">
        <f t="shared" si="8"/>
        <v>#DIV/0!</v>
      </c>
      <c r="AB48" s="366" t="e">
        <f t="shared" si="8"/>
        <v>#DIV/0!</v>
      </c>
      <c r="AC48" s="366">
        <f t="shared" si="8"/>
        <v>0</v>
      </c>
      <c r="AD48" s="366" t="e">
        <f t="shared" si="8"/>
        <v>#DIV/0!</v>
      </c>
      <c r="AE48" s="366">
        <f t="shared" si="8"/>
        <v>-0.75</v>
      </c>
      <c r="AF48" s="366">
        <f t="shared" si="8"/>
        <v>0</v>
      </c>
      <c r="AG48" s="366">
        <f t="shared" si="8"/>
        <v>0</v>
      </c>
      <c r="AH48" s="366">
        <f t="shared" si="8"/>
        <v>0</v>
      </c>
      <c r="AI48" s="385">
        <f t="shared" si="8"/>
        <v>-0.15</v>
      </c>
    </row>
    <row r="49" spans="1:35" ht="14.4" thickBot="1">
      <c r="A49" s="296" t="s">
        <v>88</v>
      </c>
      <c r="B49" s="328" t="s">
        <v>81</v>
      </c>
      <c r="C49" s="363">
        <v>11498</v>
      </c>
      <c r="D49" s="363">
        <v>11294</v>
      </c>
      <c r="E49" s="363">
        <v>11640</v>
      </c>
      <c r="F49" s="363">
        <v>11933</v>
      </c>
      <c r="G49" s="363">
        <v>11251.934007000113</v>
      </c>
      <c r="H49" s="363">
        <v>11298.5</v>
      </c>
      <c r="I49" s="363">
        <v>11298.5</v>
      </c>
      <c r="J49" s="363">
        <v>11087</v>
      </c>
      <c r="K49" s="388">
        <f t="shared" si="6"/>
        <v>91300.93400700012</v>
      </c>
      <c r="M49" s="296" t="s">
        <v>88</v>
      </c>
      <c r="N49" s="328" t="s">
        <v>81</v>
      </c>
      <c r="O49" s="389">
        <f t="shared" si="7"/>
        <v>0</v>
      </c>
      <c r="P49" s="390">
        <f t="shared" si="7"/>
        <v>0</v>
      </c>
      <c r="Q49" s="389">
        <f t="shared" si="7"/>
        <v>0</v>
      </c>
      <c r="R49" s="390">
        <f t="shared" si="7"/>
        <v>0</v>
      </c>
      <c r="S49" s="390">
        <f t="shared" si="7"/>
        <v>-177.93400700011262</v>
      </c>
      <c r="T49" s="390">
        <f t="shared" si="7"/>
        <v>-259.73717735998434</v>
      </c>
      <c r="U49" s="390">
        <f t="shared" si="7"/>
        <v>-767.75874307802223</v>
      </c>
      <c r="V49" s="390">
        <f t="shared" si="7"/>
        <v>-909.43725287402231</v>
      </c>
      <c r="W49" s="389">
        <f t="shared" si="7"/>
        <v>-2114.8671803121542</v>
      </c>
      <c r="Y49" s="296" t="s">
        <v>88</v>
      </c>
      <c r="Z49" s="328" t="s">
        <v>81</v>
      </c>
      <c r="AA49" s="391">
        <f t="shared" si="8"/>
        <v>0</v>
      </c>
      <c r="AB49" s="391">
        <f t="shared" si="8"/>
        <v>0</v>
      </c>
      <c r="AC49" s="391">
        <f t="shared" si="8"/>
        <v>0</v>
      </c>
      <c r="AD49" s="391">
        <f t="shared" si="8"/>
        <v>0</v>
      </c>
      <c r="AE49" s="391">
        <f t="shared" si="8"/>
        <v>-1.5813637627932708E-2</v>
      </c>
      <c r="AF49" s="391">
        <f t="shared" si="8"/>
        <v>-2.298864250652603E-2</v>
      </c>
      <c r="AG49" s="391">
        <f t="shared" si="8"/>
        <v>-6.795227181289748E-2</v>
      </c>
      <c r="AH49" s="391">
        <f t="shared" si="8"/>
        <v>-8.2027352112746671E-2</v>
      </c>
      <c r="AI49" s="392">
        <f t="shared" si="8"/>
        <v>-2.3163697100294787E-2</v>
      </c>
    </row>
    <row r="50" spans="1:35" ht="14.4" thickTop="1">
      <c r="A50" s="296" t="s">
        <v>89</v>
      </c>
      <c r="B50" s="393" t="s">
        <v>81</v>
      </c>
      <c r="C50" s="363">
        <v>2898</v>
      </c>
      <c r="D50" s="363">
        <v>3595</v>
      </c>
      <c r="E50" s="363">
        <v>3878</v>
      </c>
      <c r="F50" s="363">
        <v>4463</v>
      </c>
      <c r="G50" s="363">
        <v>4463</v>
      </c>
      <c r="H50" s="363">
        <v>4463</v>
      </c>
      <c r="I50" s="363">
        <v>4463</v>
      </c>
      <c r="J50" s="363">
        <v>4463</v>
      </c>
      <c r="K50" s="311">
        <f t="shared" si="6"/>
        <v>32686</v>
      </c>
      <c r="M50" s="296" t="s">
        <v>89</v>
      </c>
      <c r="N50" s="393" t="s">
        <v>81</v>
      </c>
      <c r="O50" s="394">
        <f t="shared" si="7"/>
        <v>0</v>
      </c>
      <c r="P50" s="395">
        <f t="shared" si="7"/>
        <v>0</v>
      </c>
      <c r="Q50" s="394">
        <f t="shared" si="7"/>
        <v>0</v>
      </c>
      <c r="R50" s="395">
        <f t="shared" si="7"/>
        <v>0</v>
      </c>
      <c r="S50" s="395">
        <f t="shared" si="7"/>
        <v>-93</v>
      </c>
      <c r="T50" s="395">
        <f t="shared" si="7"/>
        <v>-214.3371773599838</v>
      </c>
      <c r="U50" s="395">
        <f t="shared" si="7"/>
        <v>-236.05874307802242</v>
      </c>
      <c r="V50" s="395">
        <f t="shared" si="7"/>
        <v>-402.93725287402185</v>
      </c>
      <c r="W50" s="394">
        <f t="shared" si="7"/>
        <v>-946.33317331202488</v>
      </c>
      <c r="Y50" s="296" t="s">
        <v>89</v>
      </c>
      <c r="Z50" s="393" t="s">
        <v>81</v>
      </c>
      <c r="AA50" s="396">
        <f t="shared" si="8"/>
        <v>0</v>
      </c>
      <c r="AB50" s="396">
        <f t="shared" si="8"/>
        <v>0</v>
      </c>
      <c r="AC50" s="396">
        <f t="shared" si="8"/>
        <v>0</v>
      </c>
      <c r="AD50" s="396">
        <f t="shared" si="8"/>
        <v>0</v>
      </c>
      <c r="AE50" s="396">
        <f t="shared" si="8"/>
        <v>-2.0838001344387184E-2</v>
      </c>
      <c r="AF50" s="396">
        <f t="shared" si="8"/>
        <v>-4.8025359032037598E-2</v>
      </c>
      <c r="AG50" s="396">
        <f t="shared" si="8"/>
        <v>-5.2892391458216989E-2</v>
      </c>
      <c r="AH50" s="396">
        <f t="shared" si="8"/>
        <v>-9.0283946420349953E-2</v>
      </c>
      <c r="AI50" s="397">
        <f t="shared" si="8"/>
        <v>-2.8952247852659391E-2</v>
      </c>
    </row>
    <row r="51" spans="1:35" ht="13.8">
      <c r="A51" s="296" t="s">
        <v>90</v>
      </c>
      <c r="B51" s="362" t="s">
        <v>81</v>
      </c>
      <c r="C51" s="363">
        <v>5381</v>
      </c>
      <c r="D51" s="363">
        <v>5508</v>
      </c>
      <c r="E51" s="363">
        <v>5563</v>
      </c>
      <c r="F51" s="363">
        <v>5235</v>
      </c>
      <c r="G51" s="363">
        <v>4940.7869481765829</v>
      </c>
      <c r="H51" s="363">
        <v>5000</v>
      </c>
      <c r="I51" s="363">
        <v>5000</v>
      </c>
      <c r="J51" s="363">
        <v>4988.5</v>
      </c>
      <c r="K51" s="331">
        <f t="shared" si="6"/>
        <v>41616.286948176581</v>
      </c>
      <c r="M51" s="296" t="s">
        <v>90</v>
      </c>
      <c r="N51" s="362" t="s">
        <v>81</v>
      </c>
      <c r="O51" s="364">
        <f t="shared" si="7"/>
        <v>0</v>
      </c>
      <c r="P51" s="365">
        <f t="shared" si="7"/>
        <v>0</v>
      </c>
      <c r="Q51" s="364">
        <f t="shared" si="7"/>
        <v>0</v>
      </c>
      <c r="R51" s="365">
        <f t="shared" si="7"/>
        <v>0</v>
      </c>
      <c r="S51" s="365">
        <f t="shared" si="7"/>
        <v>57.213051823417118</v>
      </c>
      <c r="T51" s="365">
        <f t="shared" si="7"/>
        <v>80.099999999999454</v>
      </c>
      <c r="U51" s="365">
        <f t="shared" si="7"/>
        <v>-6.2000000000007276</v>
      </c>
      <c r="V51" s="365">
        <f t="shared" si="7"/>
        <v>-81</v>
      </c>
      <c r="W51" s="364">
        <f t="shared" si="7"/>
        <v>50.113051823413116</v>
      </c>
      <c r="Y51" s="296" t="s">
        <v>90</v>
      </c>
      <c r="Z51" s="362" t="s">
        <v>81</v>
      </c>
      <c r="AA51" s="366">
        <f t="shared" si="8"/>
        <v>0</v>
      </c>
      <c r="AB51" s="366">
        <f t="shared" si="8"/>
        <v>0</v>
      </c>
      <c r="AC51" s="366">
        <f t="shared" si="8"/>
        <v>0</v>
      </c>
      <c r="AD51" s="366">
        <f t="shared" si="8"/>
        <v>0</v>
      </c>
      <c r="AE51" s="366">
        <f t="shared" si="8"/>
        <v>1.1579744770118416E-2</v>
      </c>
      <c r="AF51" s="366">
        <f t="shared" si="8"/>
        <v>1.6019999999999892E-2</v>
      </c>
      <c r="AG51" s="366">
        <f t="shared" si="8"/>
        <v>-1.2400000000001455E-3</v>
      </c>
      <c r="AH51" s="366">
        <f t="shared" si="8"/>
        <v>-1.6237345895559786E-2</v>
      </c>
      <c r="AI51" s="367">
        <f t="shared" si="8"/>
        <v>1.2041692207144113E-3</v>
      </c>
    </row>
    <row r="52" spans="1:35" ht="13.8">
      <c r="A52" s="296" t="s">
        <v>91</v>
      </c>
      <c r="B52" s="362" t="s">
        <v>81</v>
      </c>
      <c r="C52" s="363">
        <v>587</v>
      </c>
      <c r="D52" s="363">
        <v>530</v>
      </c>
      <c r="E52" s="363">
        <v>640</v>
      </c>
      <c r="F52" s="363">
        <v>639</v>
      </c>
      <c r="G52" s="363">
        <v>512.64705882352939</v>
      </c>
      <c r="H52" s="363">
        <v>500</v>
      </c>
      <c r="I52" s="363">
        <v>500</v>
      </c>
      <c r="J52" s="363">
        <v>500</v>
      </c>
      <c r="K52" s="331">
        <f t="shared" si="6"/>
        <v>4408.6470588235297</v>
      </c>
      <c r="M52" s="296" t="s">
        <v>91</v>
      </c>
      <c r="N52" s="362" t="s">
        <v>81</v>
      </c>
      <c r="O52" s="364">
        <f t="shared" si="7"/>
        <v>0</v>
      </c>
      <c r="P52" s="365">
        <f t="shared" si="7"/>
        <v>0</v>
      </c>
      <c r="Q52" s="364">
        <f t="shared" si="7"/>
        <v>0</v>
      </c>
      <c r="R52" s="365">
        <f t="shared" si="7"/>
        <v>0</v>
      </c>
      <c r="S52" s="365">
        <f t="shared" si="7"/>
        <v>142.35294117647061</v>
      </c>
      <c r="T52" s="365">
        <f t="shared" si="7"/>
        <v>110</v>
      </c>
      <c r="U52" s="365">
        <f t="shared" si="7"/>
        <v>110</v>
      </c>
      <c r="V52" s="365">
        <f t="shared" si="7"/>
        <v>110</v>
      </c>
      <c r="W52" s="364">
        <f t="shared" si="7"/>
        <v>472.35294117647027</v>
      </c>
      <c r="Y52" s="296" t="s">
        <v>91</v>
      </c>
      <c r="Z52" s="362" t="s">
        <v>81</v>
      </c>
      <c r="AA52" s="366">
        <f t="shared" si="8"/>
        <v>0</v>
      </c>
      <c r="AB52" s="366">
        <f t="shared" si="8"/>
        <v>0</v>
      </c>
      <c r="AC52" s="366">
        <f t="shared" si="8"/>
        <v>0</v>
      </c>
      <c r="AD52" s="366">
        <f t="shared" si="8"/>
        <v>0</v>
      </c>
      <c r="AE52" s="366">
        <f t="shared" si="8"/>
        <v>0.27768215720022954</v>
      </c>
      <c r="AF52" s="366">
        <f t="shared" si="8"/>
        <v>0.22</v>
      </c>
      <c r="AG52" s="366">
        <f t="shared" si="8"/>
        <v>0.22</v>
      </c>
      <c r="AH52" s="366">
        <f t="shared" si="8"/>
        <v>0.22</v>
      </c>
      <c r="AI52" s="367">
        <f t="shared" si="8"/>
        <v>0.10714238061563497</v>
      </c>
    </row>
    <row r="53" spans="1:35" ht="13.8">
      <c r="A53" s="296" t="s">
        <v>92</v>
      </c>
      <c r="B53" s="362" t="s">
        <v>81</v>
      </c>
      <c r="C53" s="363">
        <v>2632</v>
      </c>
      <c r="D53" s="363">
        <v>1661</v>
      </c>
      <c r="E53" s="363">
        <v>1559</v>
      </c>
      <c r="F53" s="363">
        <v>1596</v>
      </c>
      <c r="G53" s="363">
        <v>1335.5</v>
      </c>
      <c r="H53" s="363">
        <v>1335.5</v>
      </c>
      <c r="I53" s="363">
        <v>1335.5</v>
      </c>
      <c r="J53" s="363">
        <v>1135.5</v>
      </c>
      <c r="K53" s="331">
        <f t="shared" si="6"/>
        <v>12590</v>
      </c>
      <c r="M53" s="296" t="s">
        <v>92</v>
      </c>
      <c r="N53" s="362" t="s">
        <v>81</v>
      </c>
      <c r="O53" s="364">
        <f t="shared" si="7"/>
        <v>0</v>
      </c>
      <c r="P53" s="365">
        <f t="shared" si="7"/>
        <v>0</v>
      </c>
      <c r="Q53" s="364">
        <f t="shared" si="7"/>
        <v>0</v>
      </c>
      <c r="R53" s="365">
        <f t="shared" si="7"/>
        <v>0</v>
      </c>
      <c r="S53" s="365">
        <f t="shared" si="7"/>
        <v>-284.5</v>
      </c>
      <c r="T53" s="365">
        <f t="shared" si="7"/>
        <v>28.166666666666742</v>
      </c>
      <c r="U53" s="365">
        <f t="shared" si="7"/>
        <v>28.166666666666742</v>
      </c>
      <c r="V53" s="365">
        <f t="shared" si="7"/>
        <v>228.16666666666674</v>
      </c>
      <c r="W53" s="364">
        <f t="shared" si="7"/>
        <v>0</v>
      </c>
      <c r="Y53" s="296" t="s">
        <v>92</v>
      </c>
      <c r="Z53" s="362" t="s">
        <v>81</v>
      </c>
      <c r="AA53" s="366">
        <f t="shared" si="8"/>
        <v>0</v>
      </c>
      <c r="AB53" s="366">
        <f t="shared" si="8"/>
        <v>0</v>
      </c>
      <c r="AC53" s="366">
        <f t="shared" si="8"/>
        <v>0</v>
      </c>
      <c r="AD53" s="366">
        <f t="shared" si="8"/>
        <v>0</v>
      </c>
      <c r="AE53" s="366">
        <f t="shared" si="8"/>
        <v>-0.21302882815424934</v>
      </c>
      <c r="AF53" s="366">
        <f t="shared" si="8"/>
        <v>2.1090727567702541E-2</v>
      </c>
      <c r="AG53" s="366">
        <f t="shared" si="8"/>
        <v>2.1090727567702541E-2</v>
      </c>
      <c r="AH53" s="366">
        <f t="shared" si="8"/>
        <v>0.20093938059591962</v>
      </c>
      <c r="AI53" s="367">
        <f t="shared" si="8"/>
        <v>-1.4447890417361846E-16</v>
      </c>
    </row>
    <row r="54" spans="1:35" ht="13.8">
      <c r="A54" s="296" t="s">
        <v>93</v>
      </c>
      <c r="B54" s="362" t="s">
        <v>94</v>
      </c>
      <c r="C54" s="363">
        <v>94</v>
      </c>
      <c r="D54" s="363">
        <v>90</v>
      </c>
      <c r="E54" s="363">
        <v>35</v>
      </c>
      <c r="F54" s="363">
        <v>24</v>
      </c>
      <c r="G54" s="363">
        <v>12</v>
      </c>
      <c r="H54" s="363">
        <v>12</v>
      </c>
      <c r="I54" s="363">
        <v>12</v>
      </c>
      <c r="J54" s="363">
        <v>12</v>
      </c>
      <c r="K54" s="331">
        <f t="shared" si="6"/>
        <v>291</v>
      </c>
      <c r="M54" s="296" t="s">
        <v>93</v>
      </c>
      <c r="N54" s="362" t="s">
        <v>94</v>
      </c>
      <c r="O54" s="364">
        <f t="shared" si="7"/>
        <v>0</v>
      </c>
      <c r="P54" s="365">
        <f t="shared" si="7"/>
        <v>0</v>
      </c>
      <c r="Q54" s="364">
        <f t="shared" si="7"/>
        <v>0</v>
      </c>
      <c r="R54" s="365">
        <f t="shared" si="7"/>
        <v>0</v>
      </c>
      <c r="S54" s="365">
        <f t="shared" si="7"/>
        <v>4</v>
      </c>
      <c r="T54" s="365">
        <f t="shared" si="7"/>
        <v>0</v>
      </c>
      <c r="U54" s="365">
        <f t="shared" si="7"/>
        <v>0</v>
      </c>
      <c r="V54" s="365">
        <f t="shared" si="7"/>
        <v>0</v>
      </c>
      <c r="W54" s="364">
        <f t="shared" si="7"/>
        <v>4</v>
      </c>
      <c r="Y54" s="296" t="s">
        <v>93</v>
      </c>
      <c r="Z54" s="362" t="s">
        <v>94</v>
      </c>
      <c r="AA54" s="366">
        <f t="shared" si="8"/>
        <v>0</v>
      </c>
      <c r="AB54" s="366">
        <f t="shared" si="8"/>
        <v>0</v>
      </c>
      <c r="AC54" s="366">
        <f t="shared" si="8"/>
        <v>0</v>
      </c>
      <c r="AD54" s="366">
        <f t="shared" si="8"/>
        <v>0</v>
      </c>
      <c r="AE54" s="366">
        <f t="shared" si="8"/>
        <v>0.33333333333333331</v>
      </c>
      <c r="AF54" s="366">
        <f t="shared" si="8"/>
        <v>0</v>
      </c>
      <c r="AG54" s="366">
        <f t="shared" si="8"/>
        <v>0</v>
      </c>
      <c r="AH54" s="366">
        <f t="shared" si="8"/>
        <v>0</v>
      </c>
      <c r="AI54" s="367">
        <f t="shared" si="8"/>
        <v>1.3745704467353952E-2</v>
      </c>
    </row>
    <row r="55" spans="1:35">
      <c r="A55" s="296"/>
      <c r="B55" s="313"/>
      <c r="C55" s="313"/>
      <c r="D55" s="313"/>
      <c r="E55" s="313"/>
      <c r="F55" s="313"/>
      <c r="G55" s="313"/>
      <c r="H55" s="313"/>
      <c r="I55" s="313"/>
      <c r="J55" s="313"/>
      <c r="K55" s="368"/>
      <c r="M55" s="296"/>
      <c r="N55" s="313"/>
      <c r="O55" s="369"/>
      <c r="P55" s="370"/>
      <c r="Q55" s="369"/>
      <c r="R55" s="370"/>
      <c r="S55" s="370"/>
      <c r="T55" s="370"/>
      <c r="U55" s="370"/>
      <c r="V55" s="370"/>
      <c r="W55" s="369"/>
      <c r="Y55" s="296"/>
      <c r="Z55" s="313"/>
      <c r="AA55" s="371"/>
      <c r="AB55" s="371"/>
      <c r="AC55" s="371"/>
      <c r="AD55" s="371"/>
      <c r="AE55" s="371"/>
      <c r="AF55" s="371"/>
      <c r="AG55" s="371"/>
      <c r="AH55" s="371"/>
      <c r="AI55" s="372"/>
    </row>
    <row r="56" spans="1:35">
      <c r="A56" s="332" t="s">
        <v>95</v>
      </c>
      <c r="B56" s="318"/>
      <c r="C56" s="318"/>
      <c r="D56" s="318"/>
      <c r="E56" s="318"/>
      <c r="F56" s="318"/>
      <c r="G56" s="318"/>
      <c r="H56" s="318"/>
      <c r="I56" s="318"/>
      <c r="J56" s="318"/>
      <c r="K56" s="373"/>
      <c r="M56" s="332" t="s">
        <v>95</v>
      </c>
      <c r="N56" s="318"/>
      <c r="O56" s="374"/>
      <c r="P56" s="375"/>
      <c r="Q56" s="374"/>
      <c r="R56" s="375"/>
      <c r="S56" s="375"/>
      <c r="T56" s="375"/>
      <c r="U56" s="375"/>
      <c r="V56" s="375"/>
      <c r="W56" s="374"/>
      <c r="Y56" s="332" t="s">
        <v>95</v>
      </c>
      <c r="Z56" s="318"/>
      <c r="AA56" s="376"/>
      <c r="AB56" s="376"/>
      <c r="AC56" s="376"/>
      <c r="AD56" s="376"/>
      <c r="AE56" s="376"/>
      <c r="AF56" s="376"/>
      <c r="AG56" s="376"/>
      <c r="AH56" s="376"/>
      <c r="AI56" s="377"/>
    </row>
    <row r="57" spans="1:35">
      <c r="A57" s="296" t="s">
        <v>96</v>
      </c>
      <c r="B57" s="378" t="s">
        <v>86</v>
      </c>
      <c r="C57" s="379">
        <v>332.46311999999995</v>
      </c>
      <c r="D57" s="379">
        <v>365.60753999999991</v>
      </c>
      <c r="E57" s="379">
        <v>345.08439000000033</v>
      </c>
      <c r="F57" s="379">
        <v>336.21429999999918</v>
      </c>
      <c r="G57" s="379">
        <v>316.58961250000181</v>
      </c>
      <c r="H57" s="379">
        <v>316.58961250000181</v>
      </c>
      <c r="I57" s="379">
        <v>316.58961250000181</v>
      </c>
      <c r="J57" s="379">
        <v>316.58961250000181</v>
      </c>
      <c r="K57" s="398">
        <f t="shared" ref="K57:K63" si="9">SUM(C57:J57)</f>
        <v>2645.7278000000065</v>
      </c>
      <c r="M57" s="296" t="s">
        <v>96</v>
      </c>
      <c r="N57" s="378" t="s">
        <v>86</v>
      </c>
      <c r="O57" s="381">
        <f t="shared" ref="O57:W63" si="10">C28-C57</f>
        <v>0</v>
      </c>
      <c r="P57" s="382">
        <f t="shared" si="10"/>
        <v>0</v>
      </c>
      <c r="Q57" s="381">
        <f t="shared" si="10"/>
        <v>0</v>
      </c>
      <c r="R57" s="382">
        <f t="shared" si="10"/>
        <v>0</v>
      </c>
      <c r="S57" s="382">
        <f t="shared" si="10"/>
        <v>-14.135012500001778</v>
      </c>
      <c r="T57" s="382">
        <f t="shared" si="10"/>
        <v>21.457104166667364</v>
      </c>
      <c r="U57" s="382">
        <f t="shared" si="10"/>
        <v>6.4571041666673636</v>
      </c>
      <c r="V57" s="382">
        <f t="shared" si="10"/>
        <v>6.4571041666673636</v>
      </c>
      <c r="W57" s="383">
        <f t="shared" si="10"/>
        <v>20.236300000000483</v>
      </c>
      <c r="Y57" s="296" t="s">
        <v>96</v>
      </c>
      <c r="Z57" s="378" t="s">
        <v>86</v>
      </c>
      <c r="AA57" s="384">
        <f t="shared" ref="AA57:AI63" si="11">(C28-C57)/C57</f>
        <v>0</v>
      </c>
      <c r="AB57" s="384">
        <f t="shared" si="11"/>
        <v>0</v>
      </c>
      <c r="AC57" s="384">
        <f t="shared" si="11"/>
        <v>0</v>
      </c>
      <c r="AD57" s="384">
        <f t="shared" si="11"/>
        <v>0</v>
      </c>
      <c r="AE57" s="384">
        <f t="shared" si="11"/>
        <v>-4.4647745667908474E-2</v>
      </c>
      <c r="AF57" s="384">
        <f t="shared" si="11"/>
        <v>6.777576812210552E-2</v>
      </c>
      <c r="AG57" s="384">
        <f t="shared" si="11"/>
        <v>2.0395818156122625E-2</v>
      </c>
      <c r="AH57" s="384">
        <f t="shared" si="11"/>
        <v>2.0395818156122625E-2</v>
      </c>
      <c r="AI57" s="385">
        <f t="shared" si="11"/>
        <v>7.6486704338974074E-3</v>
      </c>
    </row>
    <row r="58" spans="1:35">
      <c r="A58" s="296" t="s">
        <v>97</v>
      </c>
      <c r="B58" s="378" t="s">
        <v>86</v>
      </c>
      <c r="C58" s="379">
        <v>21.684699999999999</v>
      </c>
      <c r="D58" s="379">
        <v>20.711400000000001</v>
      </c>
      <c r="E58" s="379">
        <v>20.864100000000001</v>
      </c>
      <c r="F58" s="379">
        <v>30.738099999999985</v>
      </c>
      <c r="G58" s="379">
        <v>34.352525</v>
      </c>
      <c r="H58" s="379">
        <v>34.352525</v>
      </c>
      <c r="I58" s="379">
        <v>34.352525</v>
      </c>
      <c r="J58" s="379">
        <v>34.352525</v>
      </c>
      <c r="K58" s="398">
        <f t="shared" si="9"/>
        <v>231.40840000000003</v>
      </c>
      <c r="M58" s="296" t="s">
        <v>97</v>
      </c>
      <c r="N58" s="378" t="s">
        <v>86</v>
      </c>
      <c r="O58" s="381">
        <f t="shared" si="10"/>
        <v>0</v>
      </c>
      <c r="P58" s="382">
        <f t="shared" si="10"/>
        <v>0</v>
      </c>
      <c r="Q58" s="381">
        <f t="shared" si="10"/>
        <v>0</v>
      </c>
      <c r="R58" s="382">
        <f t="shared" si="10"/>
        <v>0</v>
      </c>
      <c r="S58" s="382">
        <f t="shared" si="10"/>
        <v>-4.9125000000003638E-2</v>
      </c>
      <c r="T58" s="382">
        <f t="shared" si="10"/>
        <v>0.74600833333333583</v>
      </c>
      <c r="U58" s="382">
        <f t="shared" si="10"/>
        <v>0.74600833333333583</v>
      </c>
      <c r="V58" s="382">
        <f t="shared" si="10"/>
        <v>0.74600833333333583</v>
      </c>
      <c r="W58" s="383">
        <f t="shared" si="10"/>
        <v>2.1888999999999612</v>
      </c>
      <c r="Y58" s="296" t="s">
        <v>97</v>
      </c>
      <c r="Z58" s="378" t="s">
        <v>86</v>
      </c>
      <c r="AA58" s="384">
        <f t="shared" si="11"/>
        <v>0</v>
      </c>
      <c r="AB58" s="384">
        <f t="shared" si="11"/>
        <v>0</v>
      </c>
      <c r="AC58" s="384">
        <f t="shared" si="11"/>
        <v>0</v>
      </c>
      <c r="AD58" s="384">
        <f t="shared" si="11"/>
        <v>0</v>
      </c>
      <c r="AE58" s="384">
        <f t="shared" si="11"/>
        <v>-1.4300258860157626E-3</v>
      </c>
      <c r="AF58" s="384">
        <f t="shared" si="11"/>
        <v>2.1716259091095511E-2</v>
      </c>
      <c r="AG58" s="384">
        <f t="shared" si="11"/>
        <v>2.1716259091095511E-2</v>
      </c>
      <c r="AH58" s="384">
        <f t="shared" si="11"/>
        <v>2.1716259091095511E-2</v>
      </c>
      <c r="AI58" s="385">
        <f t="shared" si="11"/>
        <v>9.4590343306464285E-3</v>
      </c>
    </row>
    <row r="59" spans="1:35">
      <c r="A59" s="296" t="s">
        <v>98</v>
      </c>
      <c r="B59" s="378" t="s">
        <v>86</v>
      </c>
      <c r="C59" s="379">
        <v>1.371</v>
      </c>
      <c r="D59" s="379">
        <v>1.7409000000000001</v>
      </c>
      <c r="E59" s="379">
        <v>0.77210000000000001</v>
      </c>
      <c r="F59" s="379">
        <v>1.1013999999999999</v>
      </c>
      <c r="G59" s="379">
        <v>2</v>
      </c>
      <c r="H59" s="379">
        <v>2</v>
      </c>
      <c r="I59" s="379">
        <v>2</v>
      </c>
      <c r="J59" s="379">
        <v>2</v>
      </c>
      <c r="K59" s="398">
        <f t="shared" si="9"/>
        <v>12.9854</v>
      </c>
      <c r="M59" s="296" t="s">
        <v>98</v>
      </c>
      <c r="N59" s="378" t="s">
        <v>86</v>
      </c>
      <c r="O59" s="381">
        <f t="shared" si="10"/>
        <v>0</v>
      </c>
      <c r="P59" s="382">
        <f t="shared" si="10"/>
        <v>0</v>
      </c>
      <c r="Q59" s="381">
        <f t="shared" si="10"/>
        <v>0</v>
      </c>
      <c r="R59" s="382">
        <f t="shared" si="10"/>
        <v>0</v>
      </c>
      <c r="S59" s="382">
        <f t="shared" si="10"/>
        <v>0.84690000000000021</v>
      </c>
      <c r="T59" s="382">
        <f t="shared" si="10"/>
        <v>-1.0179</v>
      </c>
      <c r="U59" s="382">
        <f t="shared" si="10"/>
        <v>-1.0179</v>
      </c>
      <c r="V59" s="382">
        <f t="shared" si="10"/>
        <v>-1.0179</v>
      </c>
      <c r="W59" s="383">
        <f t="shared" si="10"/>
        <v>-2.206800000000003</v>
      </c>
      <c r="Y59" s="296" t="s">
        <v>98</v>
      </c>
      <c r="Z59" s="378" t="s">
        <v>86</v>
      </c>
      <c r="AA59" s="384">
        <f t="shared" si="11"/>
        <v>0</v>
      </c>
      <c r="AB59" s="384">
        <f t="shared" si="11"/>
        <v>0</v>
      </c>
      <c r="AC59" s="384">
        <f t="shared" si="11"/>
        <v>0</v>
      </c>
      <c r="AD59" s="384">
        <f t="shared" si="11"/>
        <v>0</v>
      </c>
      <c r="AE59" s="384">
        <f t="shared" si="11"/>
        <v>0.4234500000000001</v>
      </c>
      <c r="AF59" s="384">
        <f t="shared" si="11"/>
        <v>-0.50895000000000001</v>
      </c>
      <c r="AG59" s="384">
        <f t="shared" si="11"/>
        <v>-0.50895000000000001</v>
      </c>
      <c r="AH59" s="384">
        <f t="shared" si="11"/>
        <v>-0.50895000000000001</v>
      </c>
      <c r="AI59" s="385">
        <f t="shared" si="11"/>
        <v>-0.1699447071326261</v>
      </c>
    </row>
    <row r="60" spans="1:35">
      <c r="A60" s="340" t="s">
        <v>99</v>
      </c>
      <c r="B60" s="399" t="s">
        <v>86</v>
      </c>
      <c r="C60" s="379">
        <v>64.840130000000002</v>
      </c>
      <c r="D60" s="379">
        <v>66.752329999999972</v>
      </c>
      <c r="E60" s="379">
        <v>100.33930000000005</v>
      </c>
      <c r="F60" s="379">
        <v>84.644199999999969</v>
      </c>
      <c r="G60" s="379">
        <v>66.033434999999997</v>
      </c>
      <c r="H60" s="379">
        <v>66.033434999999997</v>
      </c>
      <c r="I60" s="379">
        <v>66.033434999999997</v>
      </c>
      <c r="J60" s="379">
        <v>66.033434999999997</v>
      </c>
      <c r="K60" s="398">
        <f t="shared" si="9"/>
        <v>580.70969999999988</v>
      </c>
      <c r="M60" s="340" t="s">
        <v>99</v>
      </c>
      <c r="N60" s="399" t="s">
        <v>86</v>
      </c>
      <c r="O60" s="381">
        <f t="shared" si="10"/>
        <v>0</v>
      </c>
      <c r="P60" s="382">
        <f t="shared" si="10"/>
        <v>0</v>
      </c>
      <c r="Q60" s="381">
        <f t="shared" si="10"/>
        <v>0</v>
      </c>
      <c r="R60" s="382">
        <f t="shared" si="10"/>
        <v>0</v>
      </c>
      <c r="S60" s="382">
        <f t="shared" si="10"/>
        <v>3.8610050000000058</v>
      </c>
      <c r="T60" s="382">
        <f t="shared" si="10"/>
        <v>-1.2870016666666686</v>
      </c>
      <c r="U60" s="382">
        <f t="shared" si="10"/>
        <v>-1.2870016666666686</v>
      </c>
      <c r="V60" s="382">
        <f t="shared" si="10"/>
        <v>-1.2870016666666686</v>
      </c>
      <c r="W60" s="383">
        <f t="shared" si="10"/>
        <v>0</v>
      </c>
      <c r="Y60" s="340" t="s">
        <v>99</v>
      </c>
      <c r="Z60" s="399" t="s">
        <v>86</v>
      </c>
      <c r="AA60" s="384">
        <f t="shared" si="11"/>
        <v>0</v>
      </c>
      <c r="AB60" s="384">
        <f t="shared" si="11"/>
        <v>0</v>
      </c>
      <c r="AC60" s="384">
        <f t="shared" si="11"/>
        <v>0</v>
      </c>
      <c r="AD60" s="384">
        <f t="shared" si="11"/>
        <v>0</v>
      </c>
      <c r="AE60" s="384">
        <f t="shared" si="11"/>
        <v>5.8470455156543137E-2</v>
      </c>
      <c r="AF60" s="384">
        <f t="shared" si="11"/>
        <v>-1.9490151718847711E-2</v>
      </c>
      <c r="AG60" s="384">
        <f t="shared" si="11"/>
        <v>-1.9490151718847711E-2</v>
      </c>
      <c r="AH60" s="384">
        <f t="shared" si="11"/>
        <v>-1.9490151718847711E-2</v>
      </c>
      <c r="AI60" s="385">
        <f t="shared" si="11"/>
        <v>1.9577223821406125E-16</v>
      </c>
    </row>
    <row r="61" spans="1:35">
      <c r="A61" s="340" t="s">
        <v>100</v>
      </c>
      <c r="B61" s="399" t="s">
        <v>86</v>
      </c>
      <c r="C61" s="379">
        <v>29.406999999999996</v>
      </c>
      <c r="D61" s="379">
        <v>26.155430000000003</v>
      </c>
      <c r="E61" s="379">
        <v>8.8669299999999982</v>
      </c>
      <c r="F61" s="379">
        <v>18.495099999999994</v>
      </c>
      <c r="G61" s="379">
        <v>12.953777574140002</v>
      </c>
      <c r="H61" s="379">
        <v>12.953777574140002</v>
      </c>
      <c r="I61" s="379">
        <v>12.953777574140002</v>
      </c>
      <c r="J61" s="379">
        <v>12.953777574140002</v>
      </c>
      <c r="K61" s="398">
        <f t="shared" si="9"/>
        <v>134.73957029656</v>
      </c>
      <c r="M61" s="340" t="s">
        <v>100</v>
      </c>
      <c r="N61" s="399" t="s">
        <v>86</v>
      </c>
      <c r="O61" s="381">
        <f t="shared" si="10"/>
        <v>0</v>
      </c>
      <c r="P61" s="382">
        <f t="shared" si="10"/>
        <v>0</v>
      </c>
      <c r="Q61" s="381">
        <f t="shared" si="10"/>
        <v>0</v>
      </c>
      <c r="R61" s="382">
        <f t="shared" si="10"/>
        <v>0</v>
      </c>
      <c r="S61" s="382">
        <f t="shared" si="10"/>
        <v>-3.0309775741402341</v>
      </c>
      <c r="T61" s="382">
        <f t="shared" si="10"/>
        <v>-3.1390681846947182</v>
      </c>
      <c r="U61" s="382">
        <f t="shared" si="10"/>
        <v>-3.4824257667463421</v>
      </c>
      <c r="V61" s="382">
        <f t="shared" si="10"/>
        <v>-3.4824257667463421</v>
      </c>
      <c r="W61" s="383">
        <f t="shared" si="10"/>
        <v>-13.134897292327636</v>
      </c>
      <c r="Y61" s="340" t="s">
        <v>100</v>
      </c>
      <c r="Z61" s="399" t="s">
        <v>86</v>
      </c>
      <c r="AA61" s="384">
        <f t="shared" si="11"/>
        <v>0</v>
      </c>
      <c r="AB61" s="384">
        <f t="shared" si="11"/>
        <v>0</v>
      </c>
      <c r="AC61" s="384">
        <f t="shared" si="11"/>
        <v>0</v>
      </c>
      <c r="AD61" s="384">
        <f t="shared" si="11"/>
        <v>0</v>
      </c>
      <c r="AE61" s="384">
        <f t="shared" si="11"/>
        <v>-0.23398406810620723</v>
      </c>
      <c r="AF61" s="384">
        <f t="shared" si="11"/>
        <v>-0.24232839932046774</v>
      </c>
      <c r="AG61" s="384">
        <f t="shared" si="11"/>
        <v>-0.2688347662922983</v>
      </c>
      <c r="AH61" s="384">
        <f t="shared" si="11"/>
        <v>-0.2688347662922983</v>
      </c>
      <c r="AI61" s="385">
        <f t="shared" si="11"/>
        <v>-9.7483591964987737E-2</v>
      </c>
    </row>
    <row r="62" spans="1:35" ht="13.8">
      <c r="A62" s="296" t="s">
        <v>101</v>
      </c>
      <c r="B62" s="393" t="s">
        <v>81</v>
      </c>
      <c r="C62" s="363">
        <v>19849</v>
      </c>
      <c r="D62" s="363">
        <v>20384</v>
      </c>
      <c r="E62" s="363">
        <v>17357</v>
      </c>
      <c r="F62" s="363">
        <v>17354</v>
      </c>
      <c r="G62" s="363">
        <v>15541.98568480496</v>
      </c>
      <c r="H62" s="363">
        <v>15541.98568480496</v>
      </c>
      <c r="I62" s="363">
        <v>15541.98568480496</v>
      </c>
      <c r="J62" s="363">
        <v>15541.98568480496</v>
      </c>
      <c r="K62" s="331">
        <f t="shared" si="9"/>
        <v>137111.94273921987</v>
      </c>
      <c r="M62" s="296" t="s">
        <v>101</v>
      </c>
      <c r="N62" s="393" t="s">
        <v>81</v>
      </c>
      <c r="O62" s="364">
        <f t="shared" si="10"/>
        <v>-99</v>
      </c>
      <c r="P62" s="365">
        <f t="shared" si="10"/>
        <v>-23</v>
      </c>
      <c r="Q62" s="364">
        <f t="shared" si="10"/>
        <v>-49</v>
      </c>
      <c r="R62" s="365">
        <f t="shared" si="10"/>
        <v>0</v>
      </c>
      <c r="S62" s="365">
        <f t="shared" si="10"/>
        <v>-1498.9856848049603</v>
      </c>
      <c r="T62" s="365">
        <f t="shared" si="10"/>
        <v>556.66189493499587</v>
      </c>
      <c r="U62" s="365">
        <f t="shared" si="10"/>
        <v>556.66189493499587</v>
      </c>
      <c r="V62" s="365">
        <f t="shared" si="10"/>
        <v>556.66189493499587</v>
      </c>
      <c r="W62" s="387">
        <f t="shared" si="10"/>
        <v>0</v>
      </c>
      <c r="Y62" s="296" t="s">
        <v>101</v>
      </c>
      <c r="Z62" s="393" t="s">
        <v>81</v>
      </c>
      <c r="AA62" s="366">
        <f t="shared" si="11"/>
        <v>-4.9876568089072494E-3</v>
      </c>
      <c r="AB62" s="366">
        <f t="shared" si="11"/>
        <v>-1.1283359497645212E-3</v>
      </c>
      <c r="AC62" s="366">
        <f t="shared" si="11"/>
        <v>-2.8230685026214208E-3</v>
      </c>
      <c r="AD62" s="366">
        <f t="shared" si="11"/>
        <v>0</v>
      </c>
      <c r="AE62" s="366">
        <f t="shared" si="11"/>
        <v>-9.6447501317060397E-2</v>
      </c>
      <c r="AF62" s="366">
        <f t="shared" si="11"/>
        <v>3.5816652146271846E-2</v>
      </c>
      <c r="AG62" s="366">
        <f t="shared" si="11"/>
        <v>3.5816652146271846E-2</v>
      </c>
      <c r="AH62" s="366">
        <f t="shared" si="11"/>
        <v>3.5816652146271846E-2</v>
      </c>
      <c r="AI62" s="385">
        <f t="shared" si="11"/>
        <v>0</v>
      </c>
    </row>
    <row r="63" spans="1:35" ht="13.8">
      <c r="A63" s="344" t="s">
        <v>102</v>
      </c>
      <c r="B63" s="393" t="s">
        <v>81</v>
      </c>
      <c r="C63" s="363">
        <v>22851</v>
      </c>
      <c r="D63" s="363">
        <v>23770</v>
      </c>
      <c r="E63" s="363">
        <v>21642</v>
      </c>
      <c r="F63" s="363">
        <v>23268</v>
      </c>
      <c r="G63" s="363">
        <v>21743.25</v>
      </c>
      <c r="H63" s="363">
        <v>21743.25</v>
      </c>
      <c r="I63" s="363">
        <v>21743.25</v>
      </c>
      <c r="J63" s="363">
        <v>21743.25</v>
      </c>
      <c r="K63" s="331">
        <f t="shared" si="9"/>
        <v>178504</v>
      </c>
      <c r="M63" s="344" t="s">
        <v>102</v>
      </c>
      <c r="N63" s="393" t="s">
        <v>81</v>
      </c>
      <c r="O63" s="364">
        <f t="shared" si="10"/>
        <v>0</v>
      </c>
      <c r="P63" s="365">
        <f t="shared" si="10"/>
        <v>0</v>
      </c>
      <c r="Q63" s="364">
        <f t="shared" si="10"/>
        <v>0</v>
      </c>
      <c r="R63" s="365">
        <f t="shared" si="10"/>
        <v>0</v>
      </c>
      <c r="S63" s="365">
        <f t="shared" si="10"/>
        <v>-3660.25</v>
      </c>
      <c r="T63" s="365">
        <f t="shared" si="10"/>
        <v>1529.0833333333321</v>
      </c>
      <c r="U63" s="365">
        <f t="shared" si="10"/>
        <v>1529.0833333333321</v>
      </c>
      <c r="V63" s="365">
        <f t="shared" si="10"/>
        <v>1529.0833333333321</v>
      </c>
      <c r="W63" s="387">
        <f t="shared" si="10"/>
        <v>927.0000000000291</v>
      </c>
      <c r="Y63" s="344" t="s">
        <v>102</v>
      </c>
      <c r="Z63" s="393" t="s">
        <v>81</v>
      </c>
      <c r="AA63" s="366">
        <f t="shared" si="11"/>
        <v>0</v>
      </c>
      <c r="AB63" s="366">
        <f t="shared" si="11"/>
        <v>0</v>
      </c>
      <c r="AC63" s="366">
        <f t="shared" si="11"/>
        <v>0</v>
      </c>
      <c r="AD63" s="366">
        <f t="shared" si="11"/>
        <v>0</v>
      </c>
      <c r="AE63" s="366">
        <f t="shared" si="11"/>
        <v>-0.16833959964586712</v>
      </c>
      <c r="AF63" s="366">
        <f t="shared" si="11"/>
        <v>7.0324506839287232E-2</v>
      </c>
      <c r="AG63" s="366">
        <f t="shared" si="11"/>
        <v>7.0324506839287232E-2</v>
      </c>
      <c r="AH63" s="366">
        <f t="shared" si="11"/>
        <v>7.0324506839287232E-2</v>
      </c>
      <c r="AI63" s="385">
        <f t="shared" si="11"/>
        <v>5.1931609375701895E-3</v>
      </c>
    </row>
    <row r="64" spans="1:35">
      <c r="C64" s="400"/>
      <c r="D64" s="400"/>
      <c r="E64" s="400"/>
      <c r="F64" s="400"/>
      <c r="G64" s="400"/>
      <c r="H64" s="400"/>
      <c r="I64" s="400"/>
      <c r="J64" s="400"/>
      <c r="K64" s="400"/>
    </row>
    <row r="65" spans="1:35">
      <c r="A65" s="8" t="s">
        <v>106</v>
      </c>
      <c r="D65" s="8"/>
      <c r="M65" s="8" t="s">
        <v>107</v>
      </c>
      <c r="P65" s="8"/>
      <c r="Y65" s="8" t="s">
        <v>108</v>
      </c>
      <c r="AB65" s="8"/>
    </row>
    <row r="67" spans="1:35" ht="12.75" customHeight="1">
      <c r="A67" s="10"/>
      <c r="B67" s="283"/>
      <c r="C67" s="401"/>
      <c r="D67" s="402"/>
      <c r="E67" s="403"/>
      <c r="F67" s="402"/>
      <c r="G67" s="402"/>
      <c r="H67" s="402"/>
      <c r="I67" s="402"/>
      <c r="J67" s="402"/>
      <c r="K67" s="404"/>
      <c r="M67" s="10"/>
      <c r="N67" s="283"/>
      <c r="O67" s="649" t="s">
        <v>3</v>
      </c>
      <c r="P67" s="650"/>
      <c r="Q67" s="651"/>
      <c r="R67" s="655" t="s">
        <v>4</v>
      </c>
      <c r="S67" s="657" t="s">
        <v>5</v>
      </c>
      <c r="T67" s="657"/>
      <c r="U67" s="657"/>
      <c r="V67" s="658"/>
      <c r="W67" s="348"/>
      <c r="Y67" s="10"/>
      <c r="Z67" s="283"/>
      <c r="AA67" s="649" t="s">
        <v>3</v>
      </c>
      <c r="AB67" s="650"/>
      <c r="AC67" s="651"/>
      <c r="AD67" s="655" t="s">
        <v>4</v>
      </c>
      <c r="AE67" s="657" t="s">
        <v>5</v>
      </c>
      <c r="AF67" s="657"/>
      <c r="AG67" s="657"/>
      <c r="AH67" s="658"/>
      <c r="AI67" s="348"/>
    </row>
    <row r="68" spans="1:35">
      <c r="A68" s="11"/>
      <c r="B68" s="284"/>
      <c r="C68" s="646" t="s">
        <v>109</v>
      </c>
      <c r="D68" s="647"/>
      <c r="E68" s="647"/>
      <c r="F68" s="647"/>
      <c r="G68" s="647"/>
      <c r="H68" s="647"/>
      <c r="I68" s="647"/>
      <c r="J68" s="647"/>
      <c r="K68" s="648"/>
      <c r="M68" s="11"/>
      <c r="N68" s="284"/>
      <c r="O68" s="652"/>
      <c r="P68" s="653"/>
      <c r="Q68" s="654"/>
      <c r="R68" s="656"/>
      <c r="S68" s="647"/>
      <c r="T68" s="647"/>
      <c r="U68" s="647"/>
      <c r="V68" s="648"/>
      <c r="W68" s="350"/>
      <c r="Y68" s="11"/>
      <c r="Z68" s="284"/>
      <c r="AA68" s="652"/>
      <c r="AB68" s="653"/>
      <c r="AC68" s="654"/>
      <c r="AD68" s="656"/>
      <c r="AE68" s="647"/>
      <c r="AF68" s="647"/>
      <c r="AG68" s="647"/>
      <c r="AH68" s="648"/>
      <c r="AI68" s="350"/>
    </row>
    <row r="69" spans="1:35">
      <c r="A69" s="12" t="s">
        <v>78</v>
      </c>
      <c r="B69" s="352" t="s">
        <v>105</v>
      </c>
      <c r="C69" s="286">
        <v>2014</v>
      </c>
      <c r="D69" s="353">
        <v>2015</v>
      </c>
      <c r="E69" s="353">
        <v>2016</v>
      </c>
      <c r="F69" s="354">
        <v>2017</v>
      </c>
      <c r="G69" s="353">
        <v>2018</v>
      </c>
      <c r="H69" s="354">
        <v>2019</v>
      </c>
      <c r="I69" s="353">
        <v>2020</v>
      </c>
      <c r="J69" s="355">
        <v>2021</v>
      </c>
      <c r="K69" s="356" t="s">
        <v>65</v>
      </c>
      <c r="M69" s="12" t="s">
        <v>78</v>
      </c>
      <c r="N69" s="352" t="s">
        <v>105</v>
      </c>
      <c r="O69" s="286">
        <v>2014</v>
      </c>
      <c r="P69" s="353">
        <v>2015</v>
      </c>
      <c r="Q69" s="353">
        <v>2016</v>
      </c>
      <c r="R69" s="354">
        <v>2017</v>
      </c>
      <c r="S69" s="353">
        <v>2018</v>
      </c>
      <c r="T69" s="354">
        <v>2019</v>
      </c>
      <c r="U69" s="353">
        <v>2020</v>
      </c>
      <c r="V69" s="355">
        <v>2021</v>
      </c>
      <c r="W69" s="356" t="s">
        <v>65</v>
      </c>
      <c r="Y69" s="12" t="s">
        <v>78</v>
      </c>
      <c r="Z69" s="352" t="s">
        <v>105</v>
      </c>
      <c r="AA69" s="286">
        <v>2014</v>
      </c>
      <c r="AB69" s="353">
        <v>2015</v>
      </c>
      <c r="AC69" s="353">
        <v>2016</v>
      </c>
      <c r="AD69" s="354">
        <v>2017</v>
      </c>
      <c r="AE69" s="353">
        <v>2018</v>
      </c>
      <c r="AF69" s="354">
        <v>2019</v>
      </c>
      <c r="AG69" s="353">
        <v>2020</v>
      </c>
      <c r="AH69" s="355">
        <v>2021</v>
      </c>
      <c r="AI69" s="356" t="s">
        <v>65</v>
      </c>
    </row>
    <row r="70" spans="1:35">
      <c r="A70" s="288" t="s">
        <v>79</v>
      </c>
      <c r="B70" s="289"/>
      <c r="C70" s="357"/>
      <c r="D70" s="361"/>
      <c r="E70" s="361"/>
      <c r="F70" s="361"/>
      <c r="G70" s="361"/>
      <c r="H70" s="361"/>
      <c r="I70" s="361"/>
      <c r="J70" s="361"/>
      <c r="K70" s="295"/>
      <c r="M70" s="288" t="s">
        <v>79</v>
      </c>
      <c r="N70" s="289"/>
      <c r="O70" s="357"/>
      <c r="P70" s="361"/>
      <c r="Q70" s="405"/>
      <c r="R70" s="361"/>
      <c r="S70" s="361"/>
      <c r="T70" s="361"/>
      <c r="U70" s="361"/>
      <c r="V70" s="361"/>
      <c r="W70" s="295"/>
      <c r="Y70" s="288" t="s">
        <v>79</v>
      </c>
      <c r="Z70" s="289"/>
      <c r="AA70" s="357"/>
      <c r="AB70" s="361"/>
      <c r="AC70" s="361"/>
      <c r="AD70" s="361"/>
      <c r="AE70" s="361"/>
      <c r="AF70" s="361"/>
      <c r="AG70" s="361"/>
      <c r="AH70" s="361"/>
      <c r="AI70" s="295"/>
    </row>
    <row r="71" spans="1:35" ht="13.8">
      <c r="A71" s="296" t="s">
        <v>80</v>
      </c>
      <c r="B71" s="362" t="s">
        <v>81</v>
      </c>
      <c r="C71" s="406">
        <v>9724.5788877272826</v>
      </c>
      <c r="D71" s="406">
        <v>9495.398451138175</v>
      </c>
      <c r="E71" s="406">
        <v>9271.9559563397052</v>
      </c>
      <c r="F71" s="406">
        <v>9054.1447676900643</v>
      </c>
      <c r="G71" s="406">
        <v>8841.85985325195</v>
      </c>
      <c r="H71" s="406">
        <v>8634.9980929957401</v>
      </c>
      <c r="I71" s="406">
        <v>8433.4609081437993</v>
      </c>
      <c r="J71" s="406">
        <v>8237.1538844232218</v>
      </c>
      <c r="K71" s="331">
        <f>SUM(C71:J71)</f>
        <v>71693.550801709935</v>
      </c>
      <c r="M71" s="296" t="s">
        <v>80</v>
      </c>
      <c r="N71" s="362" t="s">
        <v>81</v>
      </c>
      <c r="O71" s="407">
        <f>C13-C71</f>
        <v>-4088.5788877272826</v>
      </c>
      <c r="P71" s="408">
        <f t="shared" ref="P71:W71" si="12">D13-D71</f>
        <v>-3071.398451138175</v>
      </c>
      <c r="Q71" s="408">
        <f t="shared" si="12"/>
        <v>-3702.9559563397052</v>
      </c>
      <c r="R71" s="408">
        <f t="shared" si="12"/>
        <v>-2633.1447676900643</v>
      </c>
      <c r="S71" s="408">
        <f>G13-G71</f>
        <v>-2789.85985325195</v>
      </c>
      <c r="T71" s="408">
        <f t="shared" si="12"/>
        <v>-1974.6339345933638</v>
      </c>
      <c r="U71" s="408">
        <f t="shared" si="12"/>
        <v>-1902.6949294195811</v>
      </c>
      <c r="V71" s="408">
        <f t="shared" si="12"/>
        <v>-1668.490346888666</v>
      </c>
      <c r="W71" s="409">
        <f t="shared" si="12"/>
        <v>-21831.757127048782</v>
      </c>
      <c r="Y71" s="296" t="s">
        <v>80</v>
      </c>
      <c r="Z71" s="362" t="s">
        <v>81</v>
      </c>
      <c r="AA71" s="410">
        <f>(C13-C71)/C71</f>
        <v>-0.42043762870669854</v>
      </c>
      <c r="AB71" s="411">
        <f t="shared" ref="AB71:AI71" si="13">(D13-D71)/D71</f>
        <v>-0.32346177645341662</v>
      </c>
      <c r="AC71" s="411">
        <f t="shared" si="13"/>
        <v>-0.3993716076496035</v>
      </c>
      <c r="AD71" s="411">
        <f t="shared" si="13"/>
        <v>-0.29082203071089668</v>
      </c>
      <c r="AE71" s="411">
        <f t="shared" si="13"/>
        <v>-0.31552862175550844</v>
      </c>
      <c r="AF71" s="411">
        <f t="shared" si="13"/>
        <v>-0.22867798154988406</v>
      </c>
      <c r="AG71" s="411">
        <f t="shared" si="13"/>
        <v>-0.22561258659327363</v>
      </c>
      <c r="AH71" s="411">
        <f t="shared" si="13"/>
        <v>-0.20255665613384327</v>
      </c>
      <c r="AI71" s="412">
        <f t="shared" si="13"/>
        <v>-0.30451493729793172</v>
      </c>
    </row>
    <row r="72" spans="1:35" ht="13.8">
      <c r="A72" s="296" t="s">
        <v>82</v>
      </c>
      <c r="B72" s="362" t="s">
        <v>81</v>
      </c>
      <c r="C72" s="406">
        <v>5054.1887341828879</v>
      </c>
      <c r="D72" s="406">
        <v>4985.2575898353689</v>
      </c>
      <c r="E72" s="406">
        <v>4901.9519293510475</v>
      </c>
      <c r="F72" s="406">
        <v>4801.1580299594507</v>
      </c>
      <c r="G72" s="406">
        <v>4680.8178984061815</v>
      </c>
      <c r="H72" s="406">
        <v>4540.6366131469895</v>
      </c>
      <c r="I72" s="406">
        <v>4372.7139263329973</v>
      </c>
      <c r="J72" s="406">
        <v>4180.8058694271413</v>
      </c>
      <c r="K72" s="331">
        <f>SUM(C72:J72)</f>
        <v>37517.530590642062</v>
      </c>
      <c r="M72" s="296" t="s">
        <v>82</v>
      </c>
      <c r="N72" s="362" t="s">
        <v>81</v>
      </c>
      <c r="O72" s="407">
        <f t="shared" ref="O72:W72" si="14">C14-C72</f>
        <v>1262.8112658171121</v>
      </c>
      <c r="P72" s="408">
        <f t="shared" si="14"/>
        <v>431.74241016463111</v>
      </c>
      <c r="Q72" s="408">
        <f t="shared" si="14"/>
        <v>1041.0480706489525</v>
      </c>
      <c r="R72" s="408">
        <f t="shared" si="14"/>
        <v>819.84197004054931</v>
      </c>
      <c r="S72" s="408">
        <f t="shared" si="14"/>
        <v>568.18210159381852</v>
      </c>
      <c r="T72" s="408">
        <f t="shared" si="14"/>
        <v>1236.0077139273781</v>
      </c>
      <c r="U72" s="408">
        <f t="shared" si="14"/>
        <v>1291.5277495300925</v>
      </c>
      <c r="V72" s="408">
        <f t="shared" si="14"/>
        <v>1516.3049878958727</v>
      </c>
      <c r="W72" s="409">
        <f t="shared" si="14"/>
        <v>8167.4662696184168</v>
      </c>
      <c r="Y72" s="296" t="s">
        <v>82</v>
      </c>
      <c r="Z72" s="362" t="s">
        <v>81</v>
      </c>
      <c r="AA72" s="410">
        <f t="shared" ref="AA72:AI73" si="15">(C14-C72)/C72</f>
        <v>0.24985439448993413</v>
      </c>
      <c r="AB72" s="411">
        <f t="shared" si="15"/>
        <v>8.6603831875192785E-2</v>
      </c>
      <c r="AC72" s="411">
        <f t="shared" si="15"/>
        <v>0.21237419004775374</v>
      </c>
      <c r="AD72" s="411">
        <f t="shared" si="15"/>
        <v>0.17075921369900701</v>
      </c>
      <c r="AE72" s="411">
        <f t="shared" si="15"/>
        <v>0.12138521812337209</v>
      </c>
      <c r="AF72" s="411">
        <f t="shared" si="15"/>
        <v>0.2722102249602254</v>
      </c>
      <c r="AG72" s="411">
        <f t="shared" si="15"/>
        <v>0.29536067789670861</v>
      </c>
      <c r="AH72" s="411">
        <f t="shared" si="15"/>
        <v>0.36268246726883746</v>
      </c>
      <c r="AI72" s="412">
        <f t="shared" si="15"/>
        <v>0.21769733084873169</v>
      </c>
    </row>
    <row r="73" spans="1:35" ht="13.8">
      <c r="A73" s="296" t="s">
        <v>83</v>
      </c>
      <c r="B73" s="362" t="s">
        <v>81</v>
      </c>
      <c r="C73" s="406" t="s">
        <v>419</v>
      </c>
      <c r="D73" s="406" t="s">
        <v>419</v>
      </c>
      <c r="E73" s="406" t="s">
        <v>419</v>
      </c>
      <c r="F73" s="406" t="s">
        <v>419</v>
      </c>
      <c r="G73" s="406" t="s">
        <v>419</v>
      </c>
      <c r="H73" s="406" t="s">
        <v>419</v>
      </c>
      <c r="I73" s="406" t="s">
        <v>419</v>
      </c>
      <c r="J73" s="406" t="s">
        <v>419</v>
      </c>
      <c r="K73" s="331">
        <f>SUM(C73:J73)</f>
        <v>0</v>
      </c>
      <c r="M73" s="296" t="s">
        <v>83</v>
      </c>
      <c r="N73" s="362" t="s">
        <v>81</v>
      </c>
      <c r="O73" s="407"/>
      <c r="P73" s="408"/>
      <c r="Q73" s="408"/>
      <c r="R73" s="408"/>
      <c r="S73" s="408"/>
      <c r="T73" s="408"/>
      <c r="U73" s="408"/>
      <c r="V73" s="408"/>
      <c r="W73" s="409"/>
      <c r="Y73" s="296" t="s">
        <v>83</v>
      </c>
      <c r="Z73" s="362" t="s">
        <v>81</v>
      </c>
      <c r="AA73" s="410"/>
      <c r="AB73" s="411"/>
      <c r="AC73" s="411"/>
      <c r="AD73" s="411"/>
      <c r="AE73" s="411"/>
      <c r="AF73" s="411"/>
      <c r="AG73" s="411"/>
      <c r="AH73" s="411"/>
      <c r="AI73" s="412" t="e">
        <f t="shared" si="15"/>
        <v>#DIV/0!</v>
      </c>
    </row>
    <row r="74" spans="1:35">
      <c r="A74" s="312"/>
      <c r="B74" s="313"/>
      <c r="C74" s="313"/>
      <c r="D74" s="313"/>
      <c r="E74" s="313"/>
      <c r="F74" s="313"/>
      <c r="G74" s="313"/>
      <c r="H74" s="313"/>
      <c r="I74" s="313"/>
      <c r="J74" s="313"/>
      <c r="K74" s="368"/>
      <c r="M74" s="312"/>
      <c r="N74" s="313"/>
      <c r="O74" s="413"/>
      <c r="P74" s="413"/>
      <c r="Q74" s="413"/>
      <c r="R74" s="413"/>
      <c r="S74" s="413"/>
      <c r="T74" s="413"/>
      <c r="U74" s="413"/>
      <c r="V74" s="413"/>
      <c r="W74" s="414"/>
      <c r="Y74" s="312"/>
      <c r="Z74" s="313"/>
      <c r="AA74" s="415"/>
      <c r="AB74" s="415"/>
      <c r="AC74" s="415"/>
      <c r="AD74" s="415"/>
      <c r="AE74" s="415"/>
      <c r="AF74" s="415"/>
      <c r="AG74" s="415"/>
      <c r="AH74" s="415"/>
      <c r="AI74" s="416"/>
    </row>
    <row r="75" spans="1:35">
      <c r="A75" s="317" t="s">
        <v>84</v>
      </c>
      <c r="B75" s="318"/>
      <c r="C75" s="318"/>
      <c r="D75" s="318"/>
      <c r="E75" s="318"/>
      <c r="F75" s="318"/>
      <c r="G75" s="318"/>
      <c r="H75" s="318"/>
      <c r="I75" s="318"/>
      <c r="J75" s="318"/>
      <c r="K75" s="373"/>
      <c r="M75" s="317" t="s">
        <v>84</v>
      </c>
      <c r="N75" s="318"/>
      <c r="O75" s="417"/>
      <c r="P75" s="417"/>
      <c r="Q75" s="417"/>
      <c r="R75" s="417"/>
      <c r="S75" s="417"/>
      <c r="T75" s="417"/>
      <c r="U75" s="417"/>
      <c r="V75" s="417"/>
      <c r="W75" s="418"/>
      <c r="Y75" s="317" t="s">
        <v>84</v>
      </c>
      <c r="Z75" s="318"/>
      <c r="AA75" s="419"/>
      <c r="AB75" s="419"/>
      <c r="AC75" s="419"/>
      <c r="AD75" s="419"/>
      <c r="AE75" s="419"/>
      <c r="AF75" s="419"/>
      <c r="AG75" s="419"/>
      <c r="AH75" s="419"/>
      <c r="AI75" s="420"/>
    </row>
    <row r="76" spans="1:35">
      <c r="A76" s="296" t="s">
        <v>85</v>
      </c>
      <c r="B76" s="378" t="s">
        <v>86</v>
      </c>
      <c r="C76" s="421">
        <v>25</v>
      </c>
      <c r="D76" s="421">
        <v>25</v>
      </c>
      <c r="E76" s="421">
        <v>25</v>
      </c>
      <c r="F76" s="421">
        <v>25</v>
      </c>
      <c r="G76" s="421">
        <v>25</v>
      </c>
      <c r="H76" s="421">
        <v>25</v>
      </c>
      <c r="I76" s="421">
        <v>25</v>
      </c>
      <c r="J76" s="421">
        <v>25</v>
      </c>
      <c r="K76" s="380">
        <f t="shared" ref="K76:K83" si="16">SUM(C76:J76)</f>
        <v>200</v>
      </c>
      <c r="M76" s="296" t="s">
        <v>85</v>
      </c>
      <c r="N76" s="378" t="s">
        <v>86</v>
      </c>
      <c r="O76" s="381">
        <f t="shared" ref="O76:W83" si="17">C18-C76</f>
        <v>-13.68192</v>
      </c>
      <c r="P76" s="382">
        <f t="shared" si="17"/>
        <v>-11.559580000000002</v>
      </c>
      <c r="Q76" s="381">
        <f t="shared" si="17"/>
        <v>-15.17685</v>
      </c>
      <c r="R76" s="382">
        <f t="shared" si="17"/>
        <v>-12.395779999999998</v>
      </c>
      <c r="S76" s="382">
        <f t="shared" si="17"/>
        <v>-7.4947999999999979</v>
      </c>
      <c r="T76" s="382">
        <f t="shared" si="17"/>
        <v>-6.6000000000000014</v>
      </c>
      <c r="U76" s="382">
        <f t="shared" si="17"/>
        <v>-6.6000000000000014</v>
      </c>
      <c r="V76" s="382">
        <f t="shared" si="17"/>
        <v>-6.6000000000000014</v>
      </c>
      <c r="W76" s="383">
        <f t="shared" si="17"/>
        <v>-80.108929999999987</v>
      </c>
      <c r="Y76" s="296" t="s">
        <v>85</v>
      </c>
      <c r="Z76" s="378" t="s">
        <v>86</v>
      </c>
      <c r="AA76" s="422">
        <f t="shared" ref="AA76:AI83" si="18">(C18-C76)/C76</f>
        <v>-0.54727680000000001</v>
      </c>
      <c r="AB76" s="423">
        <f t="shared" si="18"/>
        <v>-0.46238320000000011</v>
      </c>
      <c r="AC76" s="423">
        <f t="shared" si="18"/>
        <v>-0.607074</v>
      </c>
      <c r="AD76" s="423">
        <f t="shared" si="18"/>
        <v>-0.49583119999999992</v>
      </c>
      <c r="AE76" s="423">
        <f t="shared" si="18"/>
        <v>-0.29979199999999989</v>
      </c>
      <c r="AF76" s="423">
        <f t="shared" si="18"/>
        <v>-0.26400000000000007</v>
      </c>
      <c r="AG76" s="423">
        <f t="shared" si="18"/>
        <v>-0.26400000000000007</v>
      </c>
      <c r="AH76" s="423">
        <f t="shared" si="18"/>
        <v>-0.26400000000000007</v>
      </c>
      <c r="AI76" s="424">
        <f t="shared" si="18"/>
        <v>-0.40054464999999995</v>
      </c>
    </row>
    <row r="77" spans="1:35" ht="13.8">
      <c r="A77" s="296" t="s">
        <v>87</v>
      </c>
      <c r="B77" s="362" t="s">
        <v>81</v>
      </c>
      <c r="C77" s="406">
        <v>16</v>
      </c>
      <c r="D77" s="406">
        <v>16</v>
      </c>
      <c r="E77" s="406">
        <v>16</v>
      </c>
      <c r="F77" s="406">
        <v>16</v>
      </c>
      <c r="G77" s="406">
        <v>16</v>
      </c>
      <c r="H77" s="406">
        <v>16</v>
      </c>
      <c r="I77" s="406">
        <v>16</v>
      </c>
      <c r="J77" s="406">
        <v>16</v>
      </c>
      <c r="K77" s="386">
        <f t="shared" si="16"/>
        <v>128</v>
      </c>
      <c r="M77" s="296" t="s">
        <v>87</v>
      </c>
      <c r="N77" s="362" t="s">
        <v>81</v>
      </c>
      <c r="O77" s="408">
        <f t="shared" si="17"/>
        <v>-16</v>
      </c>
      <c r="P77" s="408">
        <f t="shared" si="17"/>
        <v>-16</v>
      </c>
      <c r="Q77" s="408">
        <f t="shared" si="17"/>
        <v>-12</v>
      </c>
      <c r="R77" s="408">
        <f t="shared" si="17"/>
        <v>-16</v>
      </c>
      <c r="S77" s="408">
        <f t="shared" si="17"/>
        <v>-15</v>
      </c>
      <c r="T77" s="408">
        <f t="shared" si="17"/>
        <v>-12</v>
      </c>
      <c r="U77" s="408">
        <f t="shared" si="17"/>
        <v>-12</v>
      </c>
      <c r="V77" s="408">
        <f t="shared" si="17"/>
        <v>-12</v>
      </c>
      <c r="W77" s="425">
        <f t="shared" si="17"/>
        <v>-111</v>
      </c>
      <c r="Y77" s="296" t="s">
        <v>87</v>
      </c>
      <c r="Z77" s="362" t="s">
        <v>81</v>
      </c>
      <c r="AA77" s="411">
        <f t="shared" si="18"/>
        <v>-1</v>
      </c>
      <c r="AB77" s="411">
        <f t="shared" si="18"/>
        <v>-1</v>
      </c>
      <c r="AC77" s="411">
        <f t="shared" si="18"/>
        <v>-0.75</v>
      </c>
      <c r="AD77" s="411">
        <f t="shared" si="18"/>
        <v>-1</v>
      </c>
      <c r="AE77" s="411">
        <f t="shared" si="18"/>
        <v>-0.9375</v>
      </c>
      <c r="AF77" s="411">
        <f t="shared" si="18"/>
        <v>-0.75</v>
      </c>
      <c r="AG77" s="411">
        <f t="shared" si="18"/>
        <v>-0.75</v>
      </c>
      <c r="AH77" s="411">
        <f t="shared" si="18"/>
        <v>-0.75</v>
      </c>
      <c r="AI77" s="424">
        <f t="shared" si="18"/>
        <v>-0.8671875</v>
      </c>
    </row>
    <row r="78" spans="1:35" ht="14.4" thickBot="1">
      <c r="A78" s="296" t="s">
        <v>88</v>
      </c>
      <c r="B78" s="328" t="s">
        <v>81</v>
      </c>
      <c r="C78" s="406">
        <v>12165</v>
      </c>
      <c r="D78" s="406">
        <v>12230</v>
      </c>
      <c r="E78" s="406">
        <v>12305</v>
      </c>
      <c r="F78" s="406">
        <v>12365</v>
      </c>
      <c r="G78" s="406">
        <v>12140</v>
      </c>
      <c r="H78" s="406">
        <v>12215</v>
      </c>
      <c r="I78" s="406">
        <v>12285</v>
      </c>
      <c r="J78" s="406">
        <v>12355</v>
      </c>
      <c r="K78" s="388">
        <f t="shared" si="16"/>
        <v>98060</v>
      </c>
      <c r="M78" s="296" t="s">
        <v>88</v>
      </c>
      <c r="N78" s="328" t="s">
        <v>81</v>
      </c>
      <c r="O78" s="426">
        <f t="shared" si="17"/>
        <v>-667</v>
      </c>
      <c r="P78" s="426">
        <f t="shared" si="17"/>
        <v>-936</v>
      </c>
      <c r="Q78" s="426">
        <f t="shared" si="17"/>
        <v>-665</v>
      </c>
      <c r="R78" s="426">
        <f t="shared" si="17"/>
        <v>-432</v>
      </c>
      <c r="S78" s="426">
        <f t="shared" si="17"/>
        <v>-1066</v>
      </c>
      <c r="T78" s="426">
        <f t="shared" si="17"/>
        <v>-1176.2371773599843</v>
      </c>
      <c r="U78" s="426">
        <f t="shared" si="17"/>
        <v>-1754.2587430780222</v>
      </c>
      <c r="V78" s="426">
        <f t="shared" si="17"/>
        <v>-2177.4372528740223</v>
      </c>
      <c r="W78" s="427">
        <f t="shared" si="17"/>
        <v>-8873.9331733120343</v>
      </c>
      <c r="Y78" s="296" t="s">
        <v>88</v>
      </c>
      <c r="Z78" s="328" t="s">
        <v>81</v>
      </c>
      <c r="AA78" s="428">
        <f t="shared" si="18"/>
        <v>-5.4829428688861488E-2</v>
      </c>
      <c r="AB78" s="428">
        <f t="shared" si="18"/>
        <v>-7.6533115290269835E-2</v>
      </c>
      <c r="AC78" s="428">
        <f t="shared" si="18"/>
        <v>-5.4043071921982933E-2</v>
      </c>
      <c r="AD78" s="428">
        <f t="shared" si="18"/>
        <v>-3.4937323089365147E-2</v>
      </c>
      <c r="AE78" s="428">
        <f t="shared" si="18"/>
        <v>-8.780889621087315E-2</v>
      </c>
      <c r="AF78" s="428">
        <f t="shared" si="18"/>
        <v>-9.6294488527219349E-2</v>
      </c>
      <c r="AG78" s="428">
        <f t="shared" si="18"/>
        <v>-0.14279680448335549</v>
      </c>
      <c r="AH78" s="428">
        <f t="shared" si="18"/>
        <v>-0.17623935676843563</v>
      </c>
      <c r="AI78" s="429">
        <f t="shared" si="18"/>
        <v>-9.0494933441893063E-2</v>
      </c>
    </row>
    <row r="79" spans="1:35" ht="14.4" thickTop="1">
      <c r="A79" s="296" t="s">
        <v>89</v>
      </c>
      <c r="B79" s="393" t="s">
        <v>81</v>
      </c>
      <c r="C79" s="406">
        <v>2485</v>
      </c>
      <c r="D79" s="406">
        <v>2535</v>
      </c>
      <c r="E79" s="406">
        <v>2590</v>
      </c>
      <c r="F79" s="406">
        <v>2640</v>
      </c>
      <c r="G79" s="406">
        <v>2690</v>
      </c>
      <c r="H79" s="406">
        <v>2750</v>
      </c>
      <c r="I79" s="406">
        <v>2805</v>
      </c>
      <c r="J79" s="406">
        <v>2860</v>
      </c>
      <c r="K79" s="311">
        <f t="shared" si="16"/>
        <v>21355</v>
      </c>
      <c r="M79" s="296" t="s">
        <v>89</v>
      </c>
      <c r="N79" s="393" t="s">
        <v>81</v>
      </c>
      <c r="O79" s="430">
        <f t="shared" si="17"/>
        <v>413</v>
      </c>
      <c r="P79" s="431">
        <f t="shared" si="17"/>
        <v>1060</v>
      </c>
      <c r="Q79" s="431">
        <f t="shared" si="17"/>
        <v>1288</v>
      </c>
      <c r="R79" s="431">
        <f t="shared" si="17"/>
        <v>1823</v>
      </c>
      <c r="S79" s="431">
        <f t="shared" si="17"/>
        <v>1680</v>
      </c>
      <c r="T79" s="431">
        <f t="shared" si="17"/>
        <v>1498.6628226400162</v>
      </c>
      <c r="U79" s="431">
        <f t="shared" si="17"/>
        <v>1421.9412569219776</v>
      </c>
      <c r="V79" s="431">
        <f t="shared" si="17"/>
        <v>1200.0627471259781</v>
      </c>
      <c r="W79" s="432">
        <f t="shared" si="17"/>
        <v>10384.666826687975</v>
      </c>
      <c r="Y79" s="296" t="s">
        <v>89</v>
      </c>
      <c r="Z79" s="393" t="s">
        <v>81</v>
      </c>
      <c r="AA79" s="433">
        <f t="shared" si="18"/>
        <v>0.16619718309859155</v>
      </c>
      <c r="AB79" s="434">
        <f t="shared" si="18"/>
        <v>0.4181459566074951</v>
      </c>
      <c r="AC79" s="434">
        <f t="shared" si="18"/>
        <v>0.49729729729729732</v>
      </c>
      <c r="AD79" s="434">
        <f t="shared" si="18"/>
        <v>0.69053030303030305</v>
      </c>
      <c r="AE79" s="434">
        <f t="shared" si="18"/>
        <v>0.62453531598513012</v>
      </c>
      <c r="AF79" s="434">
        <f t="shared" si="18"/>
        <v>0.5449682991418241</v>
      </c>
      <c r="AG79" s="434">
        <f t="shared" si="18"/>
        <v>0.50693092938394924</v>
      </c>
      <c r="AH79" s="434">
        <f t="shared" si="18"/>
        <v>0.41960235913495741</v>
      </c>
      <c r="AI79" s="435">
        <f t="shared" si="18"/>
        <v>0.48628737188892412</v>
      </c>
    </row>
    <row r="80" spans="1:35" ht="13.8">
      <c r="A80" s="296" t="s">
        <v>90</v>
      </c>
      <c r="B80" s="362" t="s">
        <v>81</v>
      </c>
      <c r="C80" s="406">
        <v>7465</v>
      </c>
      <c r="D80" s="406">
        <v>7465</v>
      </c>
      <c r="E80" s="406">
        <v>7465</v>
      </c>
      <c r="F80" s="406">
        <v>7465</v>
      </c>
      <c r="G80" s="406">
        <v>7475</v>
      </c>
      <c r="H80" s="406">
        <v>7475</v>
      </c>
      <c r="I80" s="406">
        <v>7475</v>
      </c>
      <c r="J80" s="406">
        <v>7475</v>
      </c>
      <c r="K80" s="331">
        <f t="shared" si="16"/>
        <v>59760</v>
      </c>
      <c r="M80" s="296" t="s">
        <v>90</v>
      </c>
      <c r="N80" s="362" t="s">
        <v>81</v>
      </c>
      <c r="O80" s="407">
        <f t="shared" si="17"/>
        <v>-2084</v>
      </c>
      <c r="P80" s="408">
        <f t="shared" si="17"/>
        <v>-1957</v>
      </c>
      <c r="Q80" s="408">
        <f t="shared" si="17"/>
        <v>-1902</v>
      </c>
      <c r="R80" s="408">
        <f t="shared" si="17"/>
        <v>-2230</v>
      </c>
      <c r="S80" s="408">
        <f t="shared" si="17"/>
        <v>-2477</v>
      </c>
      <c r="T80" s="408">
        <f t="shared" si="17"/>
        <v>-2394.9000000000005</v>
      </c>
      <c r="U80" s="408">
        <f t="shared" si="17"/>
        <v>-2481.2000000000007</v>
      </c>
      <c r="V80" s="408">
        <f t="shared" si="17"/>
        <v>-2567.5</v>
      </c>
      <c r="W80" s="409">
        <f t="shared" si="17"/>
        <v>-18093.600000000006</v>
      </c>
      <c r="Y80" s="296" t="s">
        <v>90</v>
      </c>
      <c r="Z80" s="362" t="s">
        <v>81</v>
      </c>
      <c r="AA80" s="410">
        <f t="shared" si="18"/>
        <v>-0.27916945746818489</v>
      </c>
      <c r="AB80" s="411">
        <f t="shared" si="18"/>
        <v>-0.2621567314132619</v>
      </c>
      <c r="AC80" s="411">
        <f t="shared" si="18"/>
        <v>-0.25478901540522436</v>
      </c>
      <c r="AD80" s="411">
        <f t="shared" si="18"/>
        <v>-0.29872739450770264</v>
      </c>
      <c r="AE80" s="411">
        <f t="shared" si="18"/>
        <v>-0.33137123745819397</v>
      </c>
      <c r="AF80" s="411">
        <f t="shared" si="18"/>
        <v>-0.32038795986622082</v>
      </c>
      <c r="AG80" s="411">
        <f t="shared" si="18"/>
        <v>-0.33193311036789308</v>
      </c>
      <c r="AH80" s="411">
        <f t="shared" si="18"/>
        <v>-0.34347826086956523</v>
      </c>
      <c r="AI80" s="412">
        <f t="shared" si="18"/>
        <v>-0.30277108433734951</v>
      </c>
    </row>
    <row r="81" spans="1:35" ht="13.8">
      <c r="A81" s="296" t="s">
        <v>91</v>
      </c>
      <c r="B81" s="362" t="s">
        <v>81</v>
      </c>
      <c r="C81" s="406">
        <v>715</v>
      </c>
      <c r="D81" s="406">
        <v>730</v>
      </c>
      <c r="E81" s="406">
        <v>750</v>
      </c>
      <c r="F81" s="406">
        <v>760</v>
      </c>
      <c r="G81" s="406">
        <v>775</v>
      </c>
      <c r="H81" s="406">
        <v>790</v>
      </c>
      <c r="I81" s="406">
        <v>805</v>
      </c>
      <c r="J81" s="406">
        <v>820</v>
      </c>
      <c r="K81" s="331">
        <f t="shared" si="16"/>
        <v>6145</v>
      </c>
      <c r="M81" s="296" t="s">
        <v>91</v>
      </c>
      <c r="N81" s="362" t="s">
        <v>81</v>
      </c>
      <c r="O81" s="407">
        <f t="shared" si="17"/>
        <v>-128</v>
      </c>
      <c r="P81" s="408">
        <f t="shared" si="17"/>
        <v>-200</v>
      </c>
      <c r="Q81" s="408">
        <f t="shared" si="17"/>
        <v>-110</v>
      </c>
      <c r="R81" s="408">
        <f t="shared" si="17"/>
        <v>-121</v>
      </c>
      <c r="S81" s="408">
        <f t="shared" si="17"/>
        <v>-120</v>
      </c>
      <c r="T81" s="408">
        <f t="shared" si="17"/>
        <v>-180</v>
      </c>
      <c r="U81" s="408">
        <f t="shared" si="17"/>
        <v>-195</v>
      </c>
      <c r="V81" s="408">
        <f t="shared" si="17"/>
        <v>-210</v>
      </c>
      <c r="W81" s="409">
        <f t="shared" si="17"/>
        <v>-1264</v>
      </c>
      <c r="Y81" s="296" t="s">
        <v>91</v>
      </c>
      <c r="Z81" s="362" t="s">
        <v>81</v>
      </c>
      <c r="AA81" s="410">
        <f t="shared" si="18"/>
        <v>-0.17902097902097902</v>
      </c>
      <c r="AB81" s="411">
        <f t="shared" si="18"/>
        <v>-0.27397260273972601</v>
      </c>
      <c r="AC81" s="411">
        <f t="shared" si="18"/>
        <v>-0.14666666666666667</v>
      </c>
      <c r="AD81" s="411">
        <f t="shared" si="18"/>
        <v>-0.15921052631578947</v>
      </c>
      <c r="AE81" s="411">
        <f t="shared" si="18"/>
        <v>-0.15483870967741936</v>
      </c>
      <c r="AF81" s="411">
        <f t="shared" si="18"/>
        <v>-0.22784810126582278</v>
      </c>
      <c r="AG81" s="411">
        <f t="shared" si="18"/>
        <v>-0.24223602484472051</v>
      </c>
      <c r="AH81" s="411">
        <f t="shared" si="18"/>
        <v>-0.25609756097560976</v>
      </c>
      <c r="AI81" s="412">
        <f t="shared" si="18"/>
        <v>-0.20569568755085435</v>
      </c>
    </row>
    <row r="82" spans="1:35" ht="13.8">
      <c r="A82" s="296" t="s">
        <v>92</v>
      </c>
      <c r="B82" s="362" t="s">
        <v>81</v>
      </c>
      <c r="C82" s="406">
        <v>1500</v>
      </c>
      <c r="D82" s="406">
        <v>1500</v>
      </c>
      <c r="E82" s="406">
        <v>1500</v>
      </c>
      <c r="F82" s="406">
        <v>1690</v>
      </c>
      <c r="G82" s="406">
        <v>1690</v>
      </c>
      <c r="H82" s="406">
        <v>1690</v>
      </c>
      <c r="I82" s="406">
        <v>1690</v>
      </c>
      <c r="J82" s="406">
        <v>1690</v>
      </c>
      <c r="K82" s="331">
        <f t="shared" si="16"/>
        <v>12950</v>
      </c>
      <c r="M82" s="296" t="s">
        <v>92</v>
      </c>
      <c r="N82" s="362" t="s">
        <v>81</v>
      </c>
      <c r="O82" s="407">
        <f t="shared" si="17"/>
        <v>1132</v>
      </c>
      <c r="P82" s="408">
        <f t="shared" si="17"/>
        <v>161</v>
      </c>
      <c r="Q82" s="408">
        <f t="shared" si="17"/>
        <v>59</v>
      </c>
      <c r="R82" s="408">
        <f t="shared" si="17"/>
        <v>-94</v>
      </c>
      <c r="S82" s="408">
        <f t="shared" si="17"/>
        <v>-639</v>
      </c>
      <c r="T82" s="408">
        <f t="shared" si="17"/>
        <v>-326.33333333333326</v>
      </c>
      <c r="U82" s="408">
        <f t="shared" si="17"/>
        <v>-326.33333333333326</v>
      </c>
      <c r="V82" s="408">
        <f t="shared" si="17"/>
        <v>-326.33333333333326</v>
      </c>
      <c r="W82" s="409">
        <f t="shared" si="17"/>
        <v>-360.00000000000182</v>
      </c>
      <c r="Y82" s="296" t="s">
        <v>92</v>
      </c>
      <c r="Z82" s="362" t="s">
        <v>81</v>
      </c>
      <c r="AA82" s="410">
        <f t="shared" si="18"/>
        <v>0.75466666666666671</v>
      </c>
      <c r="AB82" s="411">
        <f t="shared" si="18"/>
        <v>0.10733333333333334</v>
      </c>
      <c r="AC82" s="411">
        <f t="shared" si="18"/>
        <v>3.9333333333333331E-2</v>
      </c>
      <c r="AD82" s="411">
        <f t="shared" si="18"/>
        <v>-5.562130177514793E-2</v>
      </c>
      <c r="AE82" s="411">
        <f t="shared" si="18"/>
        <v>-0.37810650887573966</v>
      </c>
      <c r="AF82" s="411">
        <f t="shared" si="18"/>
        <v>-0.19309664694280074</v>
      </c>
      <c r="AG82" s="411">
        <f t="shared" si="18"/>
        <v>-0.19309664694280074</v>
      </c>
      <c r="AH82" s="411">
        <f t="shared" si="18"/>
        <v>-0.19309664694280074</v>
      </c>
      <c r="AI82" s="412">
        <f t="shared" si="18"/>
        <v>-2.779922779922794E-2</v>
      </c>
    </row>
    <row r="83" spans="1:35" ht="13.8">
      <c r="A83" s="296" t="s">
        <v>93</v>
      </c>
      <c r="B83" s="362" t="s">
        <v>94</v>
      </c>
      <c r="C83" s="406">
        <v>42</v>
      </c>
      <c r="D83" s="406">
        <v>53</v>
      </c>
      <c r="E83" s="406">
        <v>56</v>
      </c>
      <c r="F83" s="406">
        <v>61</v>
      </c>
      <c r="G83" s="406">
        <v>66</v>
      </c>
      <c r="H83" s="406">
        <v>74</v>
      </c>
      <c r="I83" s="406">
        <v>77</v>
      </c>
      <c r="J83" s="406">
        <v>85</v>
      </c>
      <c r="K83" s="331">
        <f t="shared" si="16"/>
        <v>514</v>
      </c>
      <c r="M83" s="296" t="s">
        <v>93</v>
      </c>
      <c r="N83" s="362" t="s">
        <v>94</v>
      </c>
      <c r="O83" s="408">
        <f t="shared" si="17"/>
        <v>52</v>
      </c>
      <c r="P83" s="408">
        <f t="shared" si="17"/>
        <v>37</v>
      </c>
      <c r="Q83" s="408">
        <f t="shared" si="17"/>
        <v>-21</v>
      </c>
      <c r="R83" s="408">
        <f t="shared" si="17"/>
        <v>-37</v>
      </c>
      <c r="S83" s="408">
        <f t="shared" si="17"/>
        <v>-50</v>
      </c>
      <c r="T83" s="408">
        <f t="shared" si="17"/>
        <v>-62</v>
      </c>
      <c r="U83" s="408">
        <f t="shared" si="17"/>
        <v>-65</v>
      </c>
      <c r="V83" s="408">
        <f t="shared" si="17"/>
        <v>-73</v>
      </c>
      <c r="W83" s="409">
        <f t="shared" si="17"/>
        <v>-219</v>
      </c>
      <c r="Y83" s="296" t="s">
        <v>93</v>
      </c>
      <c r="Z83" s="362" t="s">
        <v>94</v>
      </c>
      <c r="AA83" s="411">
        <f t="shared" si="18"/>
        <v>1.2380952380952381</v>
      </c>
      <c r="AB83" s="411">
        <f t="shared" si="18"/>
        <v>0.69811320754716977</v>
      </c>
      <c r="AC83" s="411">
        <f t="shared" si="18"/>
        <v>-0.375</v>
      </c>
      <c r="AD83" s="411">
        <f t="shared" si="18"/>
        <v>-0.60655737704918034</v>
      </c>
      <c r="AE83" s="411">
        <f t="shared" si="18"/>
        <v>-0.75757575757575757</v>
      </c>
      <c r="AF83" s="411">
        <f t="shared" si="18"/>
        <v>-0.83783783783783783</v>
      </c>
      <c r="AG83" s="411">
        <f t="shared" si="18"/>
        <v>-0.8441558441558441</v>
      </c>
      <c r="AH83" s="411">
        <f t="shared" si="18"/>
        <v>-0.85882352941176465</v>
      </c>
      <c r="AI83" s="412">
        <f t="shared" si="18"/>
        <v>-0.42607003891050582</v>
      </c>
    </row>
    <row r="84" spans="1:35">
      <c r="A84" s="296"/>
      <c r="B84" s="313"/>
      <c r="C84" s="313"/>
      <c r="D84" s="313"/>
      <c r="E84" s="313"/>
      <c r="F84" s="313"/>
      <c r="G84" s="313"/>
      <c r="H84" s="313"/>
      <c r="I84" s="313"/>
      <c r="J84" s="313"/>
      <c r="K84" s="368"/>
      <c r="M84" s="296"/>
      <c r="N84" s="313"/>
      <c r="O84" s="413"/>
      <c r="P84" s="413"/>
      <c r="Q84" s="413"/>
      <c r="R84" s="413"/>
      <c r="S84" s="413"/>
      <c r="T84" s="413"/>
      <c r="U84" s="413"/>
      <c r="V84" s="413"/>
      <c r="W84" s="414"/>
      <c r="Y84" s="296"/>
      <c r="Z84" s="313"/>
      <c r="AA84" s="415"/>
      <c r="AB84" s="415"/>
      <c r="AC84" s="415"/>
      <c r="AD84" s="415"/>
      <c r="AE84" s="415"/>
      <c r="AF84" s="415"/>
      <c r="AG84" s="415"/>
      <c r="AH84" s="415"/>
      <c r="AI84" s="416"/>
    </row>
    <row r="85" spans="1:35">
      <c r="A85" s="332" t="s">
        <v>95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73"/>
      <c r="M85" s="332" t="s">
        <v>95</v>
      </c>
      <c r="N85" s="318"/>
      <c r="O85" s="417"/>
      <c r="P85" s="417"/>
      <c r="Q85" s="417"/>
      <c r="R85" s="417"/>
      <c r="S85" s="417"/>
      <c r="T85" s="417"/>
      <c r="U85" s="417"/>
      <c r="V85" s="417"/>
      <c r="W85" s="418"/>
      <c r="Y85" s="332" t="s">
        <v>95</v>
      </c>
      <c r="Z85" s="318"/>
      <c r="AA85" s="419"/>
      <c r="AB85" s="419"/>
      <c r="AC85" s="419"/>
      <c r="AD85" s="419"/>
      <c r="AE85" s="419"/>
      <c r="AF85" s="419"/>
      <c r="AG85" s="419"/>
      <c r="AH85" s="419"/>
      <c r="AI85" s="420"/>
    </row>
    <row r="86" spans="1:35">
      <c r="A86" s="296" t="s">
        <v>96</v>
      </c>
      <c r="B86" s="378" t="s">
        <v>86</v>
      </c>
      <c r="C86" s="421">
        <v>331.50761624156763</v>
      </c>
      <c r="D86" s="421">
        <v>330.96103574691608</v>
      </c>
      <c r="E86" s="421">
        <v>330.43396806621558</v>
      </c>
      <c r="F86" s="421">
        <v>329.92577464900216</v>
      </c>
      <c r="G86" s="421">
        <v>329.43583309640712</v>
      </c>
      <c r="H86" s="421">
        <v>328.96353710586732</v>
      </c>
      <c r="I86" s="421">
        <v>328.50829638269744</v>
      </c>
      <c r="J86" s="421">
        <v>328.06953652161445</v>
      </c>
      <c r="K86" s="398">
        <f t="shared" ref="K86:K92" si="19">SUM(C86:J86)</f>
        <v>2637.805597810288</v>
      </c>
      <c r="M86" s="296" t="s">
        <v>96</v>
      </c>
      <c r="N86" s="378" t="s">
        <v>86</v>
      </c>
      <c r="O86" s="381">
        <f t="shared" ref="O86:W92" si="20">C28-C86</f>
        <v>0.9555037584323145</v>
      </c>
      <c r="P86" s="382">
        <f t="shared" si="20"/>
        <v>34.646504253083833</v>
      </c>
      <c r="Q86" s="381">
        <f t="shared" si="20"/>
        <v>14.650421933784742</v>
      </c>
      <c r="R86" s="382">
        <f t="shared" si="20"/>
        <v>6.2885253509970198</v>
      </c>
      <c r="S86" s="382">
        <f t="shared" si="20"/>
        <v>-26.981233096407095</v>
      </c>
      <c r="T86" s="382">
        <f t="shared" si="20"/>
        <v>9.0831795608018524</v>
      </c>
      <c r="U86" s="382">
        <f t="shared" si="20"/>
        <v>-5.4615797160282682</v>
      </c>
      <c r="V86" s="382">
        <f t="shared" si="20"/>
        <v>-5.0228198549452827</v>
      </c>
      <c r="W86" s="383">
        <f t="shared" si="20"/>
        <v>28.158502189719002</v>
      </c>
      <c r="Y86" s="296" t="s">
        <v>96</v>
      </c>
      <c r="Z86" s="378" t="s">
        <v>86</v>
      </c>
      <c r="AA86" s="422">
        <f t="shared" ref="AA86:AI92" si="21">(C28-C86)/C86</f>
        <v>2.8822980577798991E-3</v>
      </c>
      <c r="AB86" s="423">
        <f t="shared" si="21"/>
        <v>0.10468454141404672</v>
      </c>
      <c r="AC86" s="423">
        <f t="shared" si="21"/>
        <v>4.4336912513936663E-2</v>
      </c>
      <c r="AD86" s="423">
        <f t="shared" si="21"/>
        <v>1.9060424599100168E-2</v>
      </c>
      <c r="AE86" s="423">
        <f t="shared" si="21"/>
        <v>-8.1901330656131824E-2</v>
      </c>
      <c r="AF86" s="423">
        <f t="shared" si="21"/>
        <v>2.7611508681822983E-2</v>
      </c>
      <c r="AG86" s="423">
        <f t="shared" si="21"/>
        <v>-1.6625393562863851E-2</v>
      </c>
      <c r="AH86" s="423">
        <f t="shared" si="21"/>
        <v>-1.531022937454103E-2</v>
      </c>
      <c r="AI86" s="424">
        <f t="shared" si="21"/>
        <v>1.067497248966873E-2</v>
      </c>
    </row>
    <row r="87" spans="1:35">
      <c r="A87" s="296" t="s">
        <v>97</v>
      </c>
      <c r="B87" s="378" t="s">
        <v>86</v>
      </c>
      <c r="C87" s="421">
        <v>30.152814800160328</v>
      </c>
      <c r="D87" s="421">
        <v>29.83192997379204</v>
      </c>
      <c r="E87" s="421">
        <v>28.31672532628177</v>
      </c>
      <c r="F87" s="421">
        <v>28.253342764128831</v>
      </c>
      <c r="G87" s="421">
        <v>32.301666056953486</v>
      </c>
      <c r="H87" s="421">
        <v>30.903978384581475</v>
      </c>
      <c r="I87" s="421">
        <v>28.674622138671086</v>
      </c>
      <c r="J87" s="421">
        <v>28.735118546145696</v>
      </c>
      <c r="K87" s="398">
        <f t="shared" si="19"/>
        <v>237.17019799071471</v>
      </c>
      <c r="M87" s="296" t="s">
        <v>97</v>
      </c>
      <c r="N87" s="378" t="s">
        <v>86</v>
      </c>
      <c r="O87" s="381">
        <f t="shared" si="20"/>
        <v>-8.468114800160329</v>
      </c>
      <c r="P87" s="382">
        <f t="shared" si="20"/>
        <v>-9.1205299737920384</v>
      </c>
      <c r="Q87" s="381">
        <f t="shared" si="20"/>
        <v>-7.452625326281769</v>
      </c>
      <c r="R87" s="382">
        <f t="shared" si="20"/>
        <v>2.4847572358711538</v>
      </c>
      <c r="S87" s="382">
        <f t="shared" si="20"/>
        <v>2.00173394304651</v>
      </c>
      <c r="T87" s="382">
        <f t="shared" si="20"/>
        <v>4.1945549487518612</v>
      </c>
      <c r="U87" s="382">
        <f t="shared" si="20"/>
        <v>6.4239111946622494</v>
      </c>
      <c r="V87" s="382">
        <f t="shared" si="20"/>
        <v>6.3634147871876401</v>
      </c>
      <c r="W87" s="383">
        <f t="shared" si="20"/>
        <v>-3.572897990714722</v>
      </c>
      <c r="Y87" s="296" t="s">
        <v>97</v>
      </c>
      <c r="Z87" s="378" t="s">
        <v>86</v>
      </c>
      <c r="AA87" s="422">
        <f t="shared" si="21"/>
        <v>-0.28083994334470236</v>
      </c>
      <c r="AB87" s="423">
        <f t="shared" si="21"/>
        <v>-0.30573047006360671</v>
      </c>
      <c r="AC87" s="423">
        <f t="shared" si="21"/>
        <v>-0.26318810668989046</v>
      </c>
      <c r="AD87" s="423">
        <f t="shared" si="21"/>
        <v>8.7945601928061598E-2</v>
      </c>
      <c r="AE87" s="423">
        <f t="shared" si="21"/>
        <v>6.1969990635068264E-2</v>
      </c>
      <c r="AF87" s="423">
        <f t="shared" si="21"/>
        <v>0.13572863974188504</v>
      </c>
      <c r="AG87" s="423">
        <f t="shared" si="21"/>
        <v>0.22402775400478087</v>
      </c>
      <c r="AH87" s="423">
        <f t="shared" si="21"/>
        <v>0.22145079293717335</v>
      </c>
      <c r="AI87" s="424">
        <f t="shared" si="21"/>
        <v>-1.5064700459771097E-2</v>
      </c>
    </row>
    <row r="88" spans="1:35">
      <c r="A88" s="296" t="s">
        <v>98</v>
      </c>
      <c r="B88" s="378" t="s">
        <v>86</v>
      </c>
      <c r="C88" s="421">
        <v>0.12355225677373192</v>
      </c>
      <c r="D88" s="421">
        <v>0.12355231916592672</v>
      </c>
      <c r="E88" s="421">
        <v>0.12355237959828858</v>
      </c>
      <c r="F88" s="421">
        <v>0.12355243812629224</v>
      </c>
      <c r="G88" s="421">
        <v>0.12355249480491085</v>
      </c>
      <c r="H88" s="421">
        <v>0.12355254968854955</v>
      </c>
      <c r="I88" s="421">
        <v>0.12355260283098589</v>
      </c>
      <c r="J88" s="421">
        <v>0.12355265428531657</v>
      </c>
      <c r="K88" s="398">
        <f t="shared" si="19"/>
        <v>0.98841969527400231</v>
      </c>
      <c r="M88" s="296" t="s">
        <v>98</v>
      </c>
      <c r="N88" s="378" t="s">
        <v>86</v>
      </c>
      <c r="O88" s="381">
        <f t="shared" si="20"/>
        <v>1.2474477432262681</v>
      </c>
      <c r="P88" s="382">
        <f t="shared" si="20"/>
        <v>1.6173476808340734</v>
      </c>
      <c r="Q88" s="381">
        <f t="shared" si="20"/>
        <v>0.64854762040171143</v>
      </c>
      <c r="R88" s="382">
        <f t="shared" si="20"/>
        <v>0.97784756187370769</v>
      </c>
      <c r="S88" s="382">
        <f t="shared" si="20"/>
        <v>2.7233475051950893</v>
      </c>
      <c r="T88" s="382">
        <f t="shared" si="20"/>
        <v>0.8585474503114503</v>
      </c>
      <c r="U88" s="382">
        <f t="shared" si="20"/>
        <v>0.85854739716901396</v>
      </c>
      <c r="V88" s="382">
        <f t="shared" si="20"/>
        <v>0.85854734571468327</v>
      </c>
      <c r="W88" s="383">
        <f t="shared" si="20"/>
        <v>9.790180304725995</v>
      </c>
      <c r="Y88" s="296" t="s">
        <v>98</v>
      </c>
      <c r="Z88" s="378" t="s">
        <v>86</v>
      </c>
      <c r="AA88" s="422">
        <f t="shared" si="21"/>
        <v>10.096519285040564</v>
      </c>
      <c r="AB88" s="423">
        <f t="shared" si="21"/>
        <v>13.090387066405677</v>
      </c>
      <c r="AC88" s="423">
        <f t="shared" si="21"/>
        <v>5.2491714243818173</v>
      </c>
      <c r="AD88" s="423">
        <f t="shared" si="21"/>
        <v>7.914433553097318</v>
      </c>
      <c r="AE88" s="423">
        <f t="shared" si="21"/>
        <v>22.042027637687525</v>
      </c>
      <c r="AF88" s="423">
        <f t="shared" si="21"/>
        <v>6.9488444591040093</v>
      </c>
      <c r="AG88" s="423">
        <f t="shared" si="21"/>
        <v>6.9488410401476219</v>
      </c>
      <c r="AH88" s="423">
        <f t="shared" si="21"/>
        <v>6.9488377297995125</v>
      </c>
      <c r="AI88" s="424">
        <f t="shared" si="21"/>
        <v>9.9048818548805162</v>
      </c>
    </row>
    <row r="89" spans="1:35">
      <c r="A89" s="340" t="s">
        <v>99</v>
      </c>
      <c r="B89" s="399" t="s">
        <v>86</v>
      </c>
      <c r="C89" s="421">
        <v>71.623745877842367</v>
      </c>
      <c r="D89" s="421">
        <v>71.54428458762456</v>
      </c>
      <c r="E89" s="421">
        <v>71.467546508197131</v>
      </c>
      <c r="F89" s="421">
        <v>71.393439250667527</v>
      </c>
      <c r="G89" s="421">
        <v>71.321872678006898</v>
      </c>
      <c r="H89" s="421">
        <v>71.252758895809436</v>
      </c>
      <c r="I89" s="421">
        <v>71.186012238301146</v>
      </c>
      <c r="J89" s="421">
        <v>71.121549250035784</v>
      </c>
      <c r="K89" s="398">
        <f t="shared" si="19"/>
        <v>570.9112092864849</v>
      </c>
      <c r="M89" s="340" t="s">
        <v>99</v>
      </c>
      <c r="N89" s="399" t="s">
        <v>86</v>
      </c>
      <c r="O89" s="381">
        <f t="shared" si="20"/>
        <v>-6.7836158778423652</v>
      </c>
      <c r="P89" s="382">
        <f t="shared" si="20"/>
        <v>-4.7919545876245877</v>
      </c>
      <c r="Q89" s="381">
        <f t="shared" si="20"/>
        <v>28.87175349180292</v>
      </c>
      <c r="R89" s="382">
        <f t="shared" si="20"/>
        <v>13.250760749332443</v>
      </c>
      <c r="S89" s="382">
        <f t="shared" si="20"/>
        <v>-1.4274326780068947</v>
      </c>
      <c r="T89" s="382">
        <f t="shared" si="20"/>
        <v>-6.5063255624761069</v>
      </c>
      <c r="U89" s="382">
        <f t="shared" si="20"/>
        <v>-6.4395789049678172</v>
      </c>
      <c r="V89" s="382">
        <f t="shared" si="20"/>
        <v>-6.3751159167024554</v>
      </c>
      <c r="W89" s="383">
        <f t="shared" si="20"/>
        <v>9.7984907135150934</v>
      </c>
      <c r="Y89" s="340" t="s">
        <v>99</v>
      </c>
      <c r="Z89" s="399" t="s">
        <v>86</v>
      </c>
      <c r="AA89" s="422">
        <f t="shared" si="21"/>
        <v>-9.4711827686478983E-2</v>
      </c>
      <c r="AB89" s="423">
        <f t="shared" si="21"/>
        <v>-6.6978859530779075E-2</v>
      </c>
      <c r="AC89" s="423">
        <f t="shared" si="21"/>
        <v>0.40398411450281718</v>
      </c>
      <c r="AD89" s="423">
        <f t="shared" si="21"/>
        <v>0.18560193889536633</v>
      </c>
      <c r="AE89" s="423">
        <f t="shared" si="21"/>
        <v>-2.0013953986475506E-2</v>
      </c>
      <c r="AF89" s="423">
        <f t="shared" si="21"/>
        <v>-9.1313314225349398E-2</v>
      </c>
      <c r="AG89" s="423">
        <f t="shared" si="21"/>
        <v>-9.0461295730554295E-2</v>
      </c>
      <c r="AH89" s="423">
        <f t="shared" si="21"/>
        <v>-8.9636910105684295E-2</v>
      </c>
      <c r="AI89" s="424">
        <f t="shared" si="21"/>
        <v>1.7162897757360695E-2</v>
      </c>
    </row>
    <row r="90" spans="1:35">
      <c r="A90" s="340" t="s">
        <v>100</v>
      </c>
      <c r="B90" s="399" t="s">
        <v>86</v>
      </c>
      <c r="C90" s="421">
        <v>7.2312670117771631</v>
      </c>
      <c r="D90" s="421">
        <v>7.1442703710807489</v>
      </c>
      <c r="E90" s="421">
        <v>6.994273624863542</v>
      </c>
      <c r="F90" s="421">
        <v>7.0122767761124001</v>
      </c>
      <c r="G90" s="421">
        <v>6.8162798277871701</v>
      </c>
      <c r="H90" s="421">
        <v>6.7862827828171213</v>
      </c>
      <c r="I90" s="421">
        <v>6.8002856440977277</v>
      </c>
      <c r="J90" s="421">
        <v>6.8572884144878081</v>
      </c>
      <c r="K90" s="398">
        <f t="shared" si="19"/>
        <v>55.642224453023687</v>
      </c>
      <c r="M90" s="340" t="s">
        <v>100</v>
      </c>
      <c r="N90" s="399" t="s">
        <v>86</v>
      </c>
      <c r="O90" s="381">
        <f t="shared" si="20"/>
        <v>22.175732988222833</v>
      </c>
      <c r="P90" s="382">
        <f t="shared" si="20"/>
        <v>19.011159628919252</v>
      </c>
      <c r="Q90" s="381">
        <f t="shared" si="20"/>
        <v>1.8726563751364562</v>
      </c>
      <c r="R90" s="382">
        <f t="shared" si="20"/>
        <v>11.482823223887593</v>
      </c>
      <c r="S90" s="382">
        <f t="shared" si="20"/>
        <v>3.1065201722125977</v>
      </c>
      <c r="T90" s="382">
        <f t="shared" si="20"/>
        <v>3.0284266066281624</v>
      </c>
      <c r="U90" s="382">
        <f t="shared" si="20"/>
        <v>2.671066163295932</v>
      </c>
      <c r="V90" s="382">
        <f t="shared" si="20"/>
        <v>2.6140633929058517</v>
      </c>
      <c r="W90" s="383">
        <f t="shared" si="20"/>
        <v>65.962448551208681</v>
      </c>
      <c r="Y90" s="340" t="s">
        <v>100</v>
      </c>
      <c r="Z90" s="399" t="s">
        <v>86</v>
      </c>
      <c r="AA90" s="422">
        <f t="shared" si="21"/>
        <v>3.0666455756794</v>
      </c>
      <c r="AB90" s="423">
        <f t="shared" si="21"/>
        <v>2.661035856911913</v>
      </c>
      <c r="AC90" s="423">
        <f t="shared" si="21"/>
        <v>0.26774136609117744</v>
      </c>
      <c r="AD90" s="423">
        <f t="shared" si="21"/>
        <v>1.6375313739760369</v>
      </c>
      <c r="AE90" s="423">
        <f t="shared" si="21"/>
        <v>0.45575009399534805</v>
      </c>
      <c r="AF90" s="423">
        <f t="shared" si="21"/>
        <v>0.44625706053631353</v>
      </c>
      <c r="AG90" s="423">
        <f t="shared" si="21"/>
        <v>0.39278734792769621</v>
      </c>
      <c r="AH90" s="423">
        <f t="shared" si="21"/>
        <v>0.38120948615533828</v>
      </c>
      <c r="AI90" s="424">
        <f t="shared" si="21"/>
        <v>1.1854746858098368</v>
      </c>
    </row>
    <row r="91" spans="1:35" ht="13.8">
      <c r="A91" s="296" t="s">
        <v>101</v>
      </c>
      <c r="B91" s="393" t="s">
        <v>81</v>
      </c>
      <c r="C91" s="406">
        <v>16553.678731448545</v>
      </c>
      <c r="D91" s="406">
        <v>16530.022260965408</v>
      </c>
      <c r="E91" s="406">
        <v>16538.732990460023</v>
      </c>
      <c r="F91" s="406">
        <v>16501.034041039969</v>
      </c>
      <c r="G91" s="406">
        <v>16536.06757423931</v>
      </c>
      <c r="H91" s="406">
        <v>16476.731952856389</v>
      </c>
      <c r="I91" s="406">
        <v>16474.111302001242</v>
      </c>
      <c r="J91" s="406">
        <v>16492.103869446761</v>
      </c>
      <c r="K91" s="331">
        <f t="shared" si="19"/>
        <v>132102.48272245764</v>
      </c>
      <c r="M91" s="296" t="s">
        <v>101</v>
      </c>
      <c r="N91" s="393" t="s">
        <v>81</v>
      </c>
      <c r="O91" s="407">
        <f t="shared" si="20"/>
        <v>3196.3212685514554</v>
      </c>
      <c r="P91" s="408">
        <f t="shared" si="20"/>
        <v>3830.9777390345917</v>
      </c>
      <c r="Q91" s="408">
        <f t="shared" si="20"/>
        <v>769.26700953997715</v>
      </c>
      <c r="R91" s="408">
        <f t="shared" si="20"/>
        <v>852.96595896003055</v>
      </c>
      <c r="S91" s="408">
        <f t="shared" si="20"/>
        <v>-2493.0675742393105</v>
      </c>
      <c r="T91" s="408">
        <f t="shared" si="20"/>
        <v>-378.0843731164332</v>
      </c>
      <c r="U91" s="408">
        <f t="shared" si="20"/>
        <v>-375.46372226128551</v>
      </c>
      <c r="V91" s="408">
        <f t="shared" si="20"/>
        <v>-393.45628970680445</v>
      </c>
      <c r="W91" s="425">
        <f t="shared" si="20"/>
        <v>5009.4600167622266</v>
      </c>
      <c r="Y91" s="296" t="s">
        <v>101</v>
      </c>
      <c r="Z91" s="393" t="s">
        <v>81</v>
      </c>
      <c r="AA91" s="410">
        <f t="shared" si="21"/>
        <v>0.19308827484244395</v>
      </c>
      <c r="AB91" s="411">
        <f t="shared" si="21"/>
        <v>0.23175877676106951</v>
      </c>
      <c r="AC91" s="411">
        <f t="shared" si="21"/>
        <v>4.6513055745183787E-2</v>
      </c>
      <c r="AD91" s="411">
        <f t="shared" si="21"/>
        <v>5.1691667130593519E-2</v>
      </c>
      <c r="AE91" s="411">
        <f t="shared" si="21"/>
        <v>-0.15076544426578978</v>
      </c>
      <c r="AF91" s="411">
        <f t="shared" si="21"/>
        <v>-2.2946563323249843E-2</v>
      </c>
      <c r="AG91" s="411">
        <f t="shared" si="21"/>
        <v>-2.2791136673677503E-2</v>
      </c>
      <c r="AH91" s="411">
        <f t="shared" si="21"/>
        <v>-2.3857252708414042E-2</v>
      </c>
      <c r="AI91" s="424">
        <f t="shared" si="21"/>
        <v>3.7921013394478849E-2</v>
      </c>
    </row>
    <row r="92" spans="1:35" ht="13.8">
      <c r="A92" s="344" t="s">
        <v>102</v>
      </c>
      <c r="B92" s="393" t="s">
        <v>81</v>
      </c>
      <c r="C92" s="406">
        <v>26440.201360400406</v>
      </c>
      <c r="D92" s="406">
        <v>26524.132380574902</v>
      </c>
      <c r="E92" s="406">
        <v>26653.347014116334</v>
      </c>
      <c r="F92" s="406">
        <v>26651.512723018688</v>
      </c>
      <c r="G92" s="406">
        <v>26389.437192300291</v>
      </c>
      <c r="H92" s="406">
        <v>26092.575496420599</v>
      </c>
      <c r="I92" s="406">
        <v>25806.450177540199</v>
      </c>
      <c r="J92" s="406">
        <v>25771.796618917047</v>
      </c>
      <c r="K92" s="331">
        <f t="shared" si="19"/>
        <v>210329.4529632885</v>
      </c>
      <c r="M92" s="344" t="s">
        <v>102</v>
      </c>
      <c r="N92" s="393" t="s">
        <v>81</v>
      </c>
      <c r="O92" s="407">
        <f t="shared" si="20"/>
        <v>-3589.201360400406</v>
      </c>
      <c r="P92" s="408">
        <f t="shared" si="20"/>
        <v>-2754.1323805749016</v>
      </c>
      <c r="Q92" s="408">
        <f t="shared" si="20"/>
        <v>-5011.3470141163343</v>
      </c>
      <c r="R92" s="408">
        <f t="shared" si="20"/>
        <v>-3383.5127230186881</v>
      </c>
      <c r="S92" s="408">
        <f t="shared" si="20"/>
        <v>-8306.4371923002909</v>
      </c>
      <c r="T92" s="408">
        <f t="shared" si="20"/>
        <v>-2820.2421630872668</v>
      </c>
      <c r="U92" s="408">
        <f t="shared" si="20"/>
        <v>-2534.1168442068665</v>
      </c>
      <c r="V92" s="408">
        <f t="shared" si="20"/>
        <v>-2499.4632855837153</v>
      </c>
      <c r="W92" s="425">
        <f t="shared" si="20"/>
        <v>-30898.452963288466</v>
      </c>
      <c r="Y92" s="344" t="s">
        <v>102</v>
      </c>
      <c r="Z92" s="393" t="s">
        <v>81</v>
      </c>
      <c r="AA92" s="410">
        <f t="shared" si="21"/>
        <v>-0.1357478829860943</v>
      </c>
      <c r="AB92" s="411">
        <f t="shared" si="21"/>
        <v>-0.1038349658740169</v>
      </c>
      <c r="AC92" s="411">
        <f t="shared" si="21"/>
        <v>-0.18801942628301763</v>
      </c>
      <c r="AD92" s="411">
        <f t="shared" si="21"/>
        <v>-0.12695387155628043</v>
      </c>
      <c r="AE92" s="411">
        <f t="shared" si="21"/>
        <v>-0.31476371139600812</v>
      </c>
      <c r="AF92" s="411">
        <f t="shared" si="21"/>
        <v>-0.10808600183888133</v>
      </c>
      <c r="AG92" s="411">
        <f t="shared" si="21"/>
        <v>-9.8197033174766218E-2</v>
      </c>
      <c r="AH92" s="411">
        <f t="shared" si="21"/>
        <v>-9.6984440880968928E-2</v>
      </c>
      <c r="AI92" s="424">
        <f t="shared" si="21"/>
        <v>-0.14690502223044136</v>
      </c>
    </row>
    <row r="93" spans="1:35">
      <c r="C93" s="400"/>
      <c r="D93" s="400"/>
      <c r="E93" s="436"/>
      <c r="F93" s="400"/>
      <c r="G93" s="400"/>
      <c r="H93" s="400"/>
      <c r="I93" s="400"/>
      <c r="J93" s="400"/>
      <c r="K93" s="400"/>
    </row>
  </sheetData>
  <mergeCells count="19">
    <mergeCell ref="C9:F10"/>
    <mergeCell ref="G9:G10"/>
    <mergeCell ref="H9:J10"/>
    <mergeCell ref="K9:K11"/>
    <mergeCell ref="C38:F39"/>
    <mergeCell ref="G38:J39"/>
    <mergeCell ref="AD67:AD68"/>
    <mergeCell ref="AE67:AH68"/>
    <mergeCell ref="O38:Q39"/>
    <mergeCell ref="R38:R39"/>
    <mergeCell ref="S38:V39"/>
    <mergeCell ref="AA38:AC39"/>
    <mergeCell ref="AD38:AD39"/>
    <mergeCell ref="AE38:AH39"/>
    <mergeCell ref="C68:K68"/>
    <mergeCell ref="O67:Q68"/>
    <mergeCell ref="R67:R68"/>
    <mergeCell ref="S67:V68"/>
    <mergeCell ref="AA67:AC68"/>
  </mergeCells>
  <dataValidations count="1">
    <dataValidation type="list" allowBlank="1" showInputMessage="1" showErrorMessage="1" sqref="B1">
      <formula1>B927:B932</formula1>
    </dataValidation>
  </dataValidations>
  <pageMargins left="0.70866141732283461" right="0.70866141732283461" top="0.19685039370078741" bottom="0.19685039370078741" header="0" footer="0"/>
  <pageSetup paperSize="8" scale="58" fitToWidth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colBreaks count="1" manualBreakCount="1">
    <brk id="12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AC83"/>
  <sheetViews>
    <sheetView view="pageBreakPreview" zoomScale="85" zoomScaleNormal="85" zoomScaleSheetLayoutView="85" workbookViewId="0">
      <selection activeCell="A3" sqref="A3"/>
    </sheetView>
  </sheetViews>
  <sheetFormatPr defaultRowHeight="13.2"/>
  <cols>
    <col min="1" max="1" width="65.109375" customWidth="1"/>
    <col min="2" max="9" width="15" customWidth="1"/>
    <col min="11" max="11" width="30.44140625" customWidth="1"/>
    <col min="12" max="14" width="13.109375" bestFit="1" customWidth="1"/>
    <col min="15" max="15" width="15.33203125" customWidth="1"/>
    <col min="16" max="16" width="14.6640625" customWidth="1"/>
    <col min="17" max="19" width="13.109375" bestFit="1" customWidth="1"/>
    <col min="21" max="21" width="31" customWidth="1"/>
    <col min="22" max="29" width="11.33203125" customWidth="1"/>
  </cols>
  <sheetData>
    <row r="1" spans="1:29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7" customFormat="1" ht="12.6">
      <c r="D4" s="8"/>
      <c r="O4" s="8"/>
    </row>
    <row r="5" spans="1:29" s="7" customFormat="1" ht="16.2">
      <c r="A5" s="437" t="s">
        <v>110</v>
      </c>
      <c r="D5" s="8"/>
      <c r="O5" s="8"/>
    </row>
    <row r="6" spans="1:29" s="7" customFormat="1" ht="12.6">
      <c r="D6" s="8"/>
      <c r="O6" s="8"/>
    </row>
    <row r="7" spans="1:29" s="7" customFormat="1" ht="15">
      <c r="A7" s="8" t="s">
        <v>111</v>
      </c>
      <c r="D7" s="8"/>
      <c r="F7" s="438"/>
      <c r="O7" s="8"/>
    </row>
    <row r="8" spans="1:29" s="7" customFormat="1" ht="12.6">
      <c r="D8" s="8"/>
      <c r="O8" s="8"/>
    </row>
    <row r="9" spans="1:29" s="7" customFormat="1" ht="12.75" customHeight="1">
      <c r="A9" s="10"/>
      <c r="B9" s="649" t="s">
        <v>3</v>
      </c>
      <c r="C9" s="650"/>
      <c r="D9" s="650"/>
      <c r="E9" s="651"/>
      <c r="F9" s="655" t="s">
        <v>4</v>
      </c>
      <c r="G9" s="657" t="s">
        <v>5</v>
      </c>
      <c r="H9" s="657"/>
      <c r="I9" s="658"/>
      <c r="O9" s="8"/>
    </row>
    <row r="10" spans="1:29" s="7" customFormat="1" ht="12.6">
      <c r="A10" s="439"/>
      <c r="B10" s="652"/>
      <c r="C10" s="653"/>
      <c r="D10" s="653"/>
      <c r="E10" s="654"/>
      <c r="F10" s="656"/>
      <c r="G10" s="647"/>
      <c r="H10" s="647"/>
      <c r="I10" s="648"/>
      <c r="O10" s="8"/>
    </row>
    <row r="11" spans="1:29" s="7" customFormat="1" ht="12.6">
      <c r="A11" s="440"/>
      <c r="B11" s="286">
        <v>2014</v>
      </c>
      <c r="C11" s="287">
        <v>2015</v>
      </c>
      <c r="D11" s="287">
        <v>2016</v>
      </c>
      <c r="E11" s="287">
        <v>2017</v>
      </c>
      <c r="F11" s="287">
        <v>2018</v>
      </c>
      <c r="G11" s="287">
        <v>2019</v>
      </c>
      <c r="H11" s="287">
        <v>2020</v>
      </c>
      <c r="I11" s="287">
        <v>2021</v>
      </c>
      <c r="O11" s="8"/>
    </row>
    <row r="12" spans="1:29" s="7" customFormat="1" ht="12.6">
      <c r="A12" s="441" t="s">
        <v>112</v>
      </c>
      <c r="B12" s="331">
        <f t="shared" ref="B12:E13" si="0">+B22</f>
        <v>197562.9</v>
      </c>
      <c r="C12" s="331">
        <f t="shared" si="0"/>
        <v>172591.9</v>
      </c>
      <c r="D12" s="331">
        <f t="shared" si="0"/>
        <v>148530.9</v>
      </c>
      <c r="E12" s="331">
        <f>D14</f>
        <v>131807.33562716411</v>
      </c>
      <c r="F12" s="331">
        <f>E14</f>
        <v>118736.05514150417</v>
      </c>
      <c r="G12" s="331">
        <f>F14</f>
        <v>108419.05514150417</v>
      </c>
      <c r="H12" s="331">
        <f t="shared" ref="H12:I12" si="1">G14</f>
        <v>102287.96145045408</v>
      </c>
      <c r="I12" s="331">
        <f t="shared" si="1"/>
        <v>96647.425084912262</v>
      </c>
      <c r="O12" s="8"/>
    </row>
    <row r="13" spans="1:29" s="7" customFormat="1" ht="12.6">
      <c r="A13" s="441" t="s">
        <v>113</v>
      </c>
      <c r="B13" s="331">
        <f t="shared" si="0"/>
        <v>24971</v>
      </c>
      <c r="C13" s="331">
        <f t="shared" si="0"/>
        <v>24061</v>
      </c>
      <c r="D13" s="331">
        <f t="shared" si="0"/>
        <v>16723.564372835899</v>
      </c>
      <c r="E13" s="331">
        <f t="shared" si="0"/>
        <v>13071.280485659934</v>
      </c>
      <c r="F13" s="330">
        <v>10317</v>
      </c>
      <c r="G13" s="330">
        <v>6131.093691050095</v>
      </c>
      <c r="H13" s="330">
        <v>5640.5363655418159</v>
      </c>
      <c r="I13" s="330">
        <v>4886.3699434080909</v>
      </c>
      <c r="O13" s="8"/>
    </row>
    <row r="14" spans="1:29" s="7" customFormat="1" ht="12.6">
      <c r="A14" s="441" t="s">
        <v>114</v>
      </c>
      <c r="B14" s="331">
        <f>B12-B13</f>
        <v>172591.9</v>
      </c>
      <c r="C14" s="331">
        <f>C12-C13</f>
        <v>148530.9</v>
      </c>
      <c r="D14" s="331">
        <f>D12-D13</f>
        <v>131807.33562716411</v>
      </c>
      <c r="E14" s="331">
        <f t="shared" ref="E14:I14" si="2">E12-E13</f>
        <v>118736.05514150417</v>
      </c>
      <c r="F14" s="331">
        <f t="shared" si="2"/>
        <v>108419.05514150417</v>
      </c>
      <c r="G14" s="331">
        <f t="shared" si="2"/>
        <v>102287.96145045408</v>
      </c>
      <c r="H14" s="331">
        <f t="shared" si="2"/>
        <v>96647.425084912262</v>
      </c>
      <c r="I14" s="331">
        <f t="shared" si="2"/>
        <v>91761.05514150417</v>
      </c>
      <c r="O14" s="8"/>
    </row>
    <row r="15" spans="1:29">
      <c r="A15" s="441" t="s">
        <v>115</v>
      </c>
      <c r="B15" s="331">
        <f>B13</f>
        <v>24971</v>
      </c>
      <c r="C15" s="331">
        <f>C13+B15</f>
        <v>49032</v>
      </c>
      <c r="D15" s="331">
        <f>D13+C15</f>
        <v>65755.564372835899</v>
      </c>
      <c r="E15" s="331">
        <f t="shared" ref="E15:I15" si="3">D15+E13</f>
        <v>78826.844858495839</v>
      </c>
      <c r="F15" s="331">
        <f t="shared" si="3"/>
        <v>89143.844858495839</v>
      </c>
      <c r="G15" s="331">
        <f t="shared" si="3"/>
        <v>95274.938549545928</v>
      </c>
      <c r="H15" s="331">
        <f t="shared" si="3"/>
        <v>100915.47491508775</v>
      </c>
      <c r="I15" s="331">
        <f t="shared" si="3"/>
        <v>105801.84485849584</v>
      </c>
    </row>
    <row r="16" spans="1:29">
      <c r="A16" s="442"/>
    </row>
    <row r="17" spans="1:29" s="7" customFormat="1" ht="27.6">
      <c r="A17" s="443" t="s">
        <v>116</v>
      </c>
      <c r="D17" s="8"/>
      <c r="F17" s="438"/>
      <c r="K17" s="8" t="s">
        <v>49</v>
      </c>
      <c r="N17" s="8"/>
      <c r="P17" s="438"/>
      <c r="U17" s="8" t="s">
        <v>50</v>
      </c>
      <c r="X17" s="8"/>
      <c r="Z17" s="438"/>
    </row>
    <row r="18" spans="1:29" s="7" customFormat="1" ht="12.6">
      <c r="A18" s="444"/>
      <c r="D18" s="8"/>
      <c r="N18" s="8"/>
      <c r="X18" s="8"/>
    </row>
    <row r="19" spans="1:29" s="7" customFormat="1" ht="12.75" customHeight="1">
      <c r="A19" s="445"/>
      <c r="B19" s="649" t="s">
        <v>3</v>
      </c>
      <c r="C19" s="650"/>
      <c r="D19" s="650"/>
      <c r="E19" s="651"/>
      <c r="F19" s="655" t="s">
        <v>4</v>
      </c>
      <c r="G19" s="657" t="s">
        <v>5</v>
      </c>
      <c r="H19" s="657"/>
      <c r="I19" s="658"/>
      <c r="K19" s="10"/>
      <c r="L19" s="662" t="s">
        <v>3</v>
      </c>
      <c r="M19" s="650" t="s">
        <v>5</v>
      </c>
      <c r="N19" s="650"/>
      <c r="O19" s="650"/>
      <c r="P19" s="650"/>
      <c r="Q19" s="650"/>
      <c r="R19" s="650"/>
      <c r="S19" s="651"/>
      <c r="U19" s="10"/>
      <c r="V19" s="662" t="s">
        <v>3</v>
      </c>
      <c r="W19" s="650" t="s">
        <v>5</v>
      </c>
      <c r="X19" s="650"/>
      <c r="Y19" s="650"/>
      <c r="Z19" s="650"/>
      <c r="AA19" s="650"/>
      <c r="AB19" s="650"/>
      <c r="AC19" s="651"/>
    </row>
    <row r="20" spans="1:29" s="7" customFormat="1" ht="12.6">
      <c r="A20" s="439"/>
      <c r="B20" s="652"/>
      <c r="C20" s="653"/>
      <c r="D20" s="653"/>
      <c r="E20" s="654"/>
      <c r="F20" s="656"/>
      <c r="G20" s="647"/>
      <c r="H20" s="647"/>
      <c r="I20" s="648"/>
      <c r="K20" s="11"/>
      <c r="L20" s="662"/>
      <c r="M20" s="653"/>
      <c r="N20" s="653"/>
      <c r="O20" s="653"/>
      <c r="P20" s="653"/>
      <c r="Q20" s="653"/>
      <c r="R20" s="653"/>
      <c r="S20" s="654"/>
      <c r="U20" s="11"/>
      <c r="V20" s="662"/>
      <c r="W20" s="653"/>
      <c r="X20" s="653"/>
      <c r="Y20" s="653"/>
      <c r="Z20" s="653"/>
      <c r="AA20" s="653"/>
      <c r="AB20" s="653"/>
      <c r="AC20" s="654"/>
    </row>
    <row r="21" spans="1:29" s="7" customFormat="1" ht="12.6">
      <c r="A21" s="440"/>
      <c r="B21" s="286">
        <v>2014</v>
      </c>
      <c r="C21" s="353">
        <v>2015</v>
      </c>
      <c r="D21" s="353">
        <v>2016</v>
      </c>
      <c r="E21" s="354">
        <v>2017</v>
      </c>
      <c r="F21" s="353">
        <v>2018</v>
      </c>
      <c r="G21" s="354">
        <v>2019</v>
      </c>
      <c r="H21" s="353">
        <v>2020</v>
      </c>
      <c r="I21" s="355">
        <v>2021</v>
      </c>
      <c r="K21" s="12"/>
      <c r="L21" s="286">
        <v>2014</v>
      </c>
      <c r="M21" s="353">
        <v>2015</v>
      </c>
      <c r="N21" s="353">
        <v>2016</v>
      </c>
      <c r="O21" s="354">
        <v>2017</v>
      </c>
      <c r="P21" s="353">
        <v>2018</v>
      </c>
      <c r="Q21" s="354">
        <v>2019</v>
      </c>
      <c r="R21" s="353">
        <v>2020</v>
      </c>
      <c r="S21" s="355">
        <v>2021</v>
      </c>
      <c r="U21" s="12"/>
      <c r="V21" s="286">
        <v>2014</v>
      </c>
      <c r="W21" s="353">
        <v>2015</v>
      </c>
      <c r="X21" s="353">
        <v>2016</v>
      </c>
      <c r="Y21" s="354">
        <v>2017</v>
      </c>
      <c r="Z21" s="353">
        <v>2018</v>
      </c>
      <c r="AA21" s="354">
        <v>2019</v>
      </c>
      <c r="AB21" s="353">
        <v>2020</v>
      </c>
      <c r="AC21" s="355">
        <v>2021</v>
      </c>
    </row>
    <row r="22" spans="1:29" s="7" customFormat="1" ht="12.6">
      <c r="A22" s="441" t="s">
        <v>112</v>
      </c>
      <c r="B22" s="331">
        <v>197562.9</v>
      </c>
      <c r="C22" s="331">
        <v>172591.9</v>
      </c>
      <c r="D22" s="331">
        <v>148530.9</v>
      </c>
      <c r="E22" s="331">
        <v>131807.33562716411</v>
      </c>
      <c r="F22" s="331">
        <v>118736.05514150417</v>
      </c>
      <c r="G22" s="331">
        <v>110845.05514150417</v>
      </c>
      <c r="H22" s="331">
        <v>103821.05514150417</v>
      </c>
      <c r="I22" s="331">
        <v>97359.05514150417</v>
      </c>
      <c r="K22" s="446"/>
      <c r="L22" s="331"/>
      <c r="M22" s="331"/>
      <c r="N22" s="331"/>
      <c r="O22" s="331"/>
      <c r="P22" s="331"/>
      <c r="Q22" s="331"/>
      <c r="R22" s="331"/>
      <c r="S22" s="331"/>
      <c r="U22" s="446"/>
      <c r="V22" s="331"/>
      <c r="W22" s="331"/>
      <c r="X22" s="331"/>
      <c r="Y22" s="331"/>
      <c r="Z22" s="331"/>
      <c r="AA22" s="331"/>
      <c r="AB22" s="331"/>
      <c r="AC22" s="331"/>
    </row>
    <row r="23" spans="1:29" s="7" customFormat="1" ht="12.6">
      <c r="A23" s="441" t="s">
        <v>113</v>
      </c>
      <c r="B23" s="331">
        <v>24971</v>
      </c>
      <c r="C23" s="331">
        <v>24061</v>
      </c>
      <c r="D23" s="331">
        <v>16723.564372835899</v>
      </c>
      <c r="E23" s="331">
        <v>13071.280485659934</v>
      </c>
      <c r="F23" s="331">
        <v>7891</v>
      </c>
      <c r="G23" s="331">
        <v>7024</v>
      </c>
      <c r="H23" s="331">
        <v>6462</v>
      </c>
      <c r="I23" s="331">
        <v>5598</v>
      </c>
      <c r="K23" s="446" t="s">
        <v>113</v>
      </c>
      <c r="L23" s="331">
        <f t="shared" ref="L23:S23" si="4">B13-B23</f>
        <v>0</v>
      </c>
      <c r="M23" s="331">
        <f t="shared" si="4"/>
        <v>0</v>
      </c>
      <c r="N23" s="331">
        <f t="shared" si="4"/>
        <v>0</v>
      </c>
      <c r="O23" s="331">
        <f t="shared" si="4"/>
        <v>0</v>
      </c>
      <c r="P23" s="331">
        <f t="shared" si="4"/>
        <v>2426</v>
      </c>
      <c r="Q23" s="331">
        <f t="shared" si="4"/>
        <v>-892.906308949905</v>
      </c>
      <c r="R23" s="331">
        <f t="shared" si="4"/>
        <v>-821.46363445818406</v>
      </c>
      <c r="S23" s="331">
        <f t="shared" si="4"/>
        <v>-711.63005659190912</v>
      </c>
      <c r="U23" s="446" t="s">
        <v>113</v>
      </c>
      <c r="V23" s="447">
        <f t="shared" ref="V23:AC23" si="5">(B13-B23)/B23</f>
        <v>0</v>
      </c>
      <c r="W23" s="447">
        <f t="shared" si="5"/>
        <v>0</v>
      </c>
      <c r="X23" s="447">
        <f t="shared" si="5"/>
        <v>0</v>
      </c>
      <c r="Y23" s="447">
        <f t="shared" si="5"/>
        <v>0</v>
      </c>
      <c r="Z23" s="447">
        <f t="shared" si="5"/>
        <v>0.30743885439107843</v>
      </c>
      <c r="AA23" s="447">
        <f t="shared" si="5"/>
        <v>-0.12712219660448534</v>
      </c>
      <c r="AB23" s="447">
        <f t="shared" si="5"/>
        <v>-0.12712219660448532</v>
      </c>
      <c r="AC23" s="447">
        <f t="shared" si="5"/>
        <v>-0.12712219660448537</v>
      </c>
    </row>
    <row r="24" spans="1:29" s="7" customFormat="1" ht="12.6">
      <c r="A24" s="441" t="s">
        <v>114</v>
      </c>
      <c r="B24" s="331">
        <f>B22-B23</f>
        <v>172591.9</v>
      </c>
      <c r="C24" s="331">
        <f t="shared" ref="C24:I24" si="6">C22-C23</f>
        <v>148530.9</v>
      </c>
      <c r="D24" s="331">
        <f t="shared" si="6"/>
        <v>131807.33562716411</v>
      </c>
      <c r="E24" s="331">
        <f t="shared" si="6"/>
        <v>118736.05514150417</v>
      </c>
      <c r="F24" s="331">
        <f t="shared" si="6"/>
        <v>110845.05514150417</v>
      </c>
      <c r="G24" s="331">
        <f t="shared" si="6"/>
        <v>103821.05514150417</v>
      </c>
      <c r="H24" s="331">
        <f t="shared" si="6"/>
        <v>97359.05514150417</v>
      </c>
      <c r="I24" s="331">
        <f t="shared" si="6"/>
        <v>91761.05514150417</v>
      </c>
      <c r="K24" s="446"/>
      <c r="L24" s="331"/>
      <c r="M24" s="331"/>
      <c r="N24" s="331"/>
      <c r="O24" s="331"/>
      <c r="P24" s="331"/>
      <c r="Q24" s="331"/>
      <c r="R24" s="331"/>
      <c r="S24" s="331"/>
      <c r="U24" s="446"/>
      <c r="V24" s="331"/>
      <c r="W24" s="331"/>
      <c r="X24" s="331"/>
      <c r="Y24" s="331"/>
      <c r="Z24" s="331"/>
      <c r="AA24" s="331"/>
      <c r="AB24" s="331"/>
      <c r="AC24" s="331"/>
    </row>
    <row r="25" spans="1:29">
      <c r="A25" s="441" t="s">
        <v>115</v>
      </c>
      <c r="B25" s="331">
        <f>B23</f>
        <v>24971</v>
      </c>
      <c r="C25" s="331">
        <f>B25+C23</f>
        <v>49032</v>
      </c>
      <c r="D25" s="331">
        <f t="shared" ref="D25:I25" si="7">C25+D23</f>
        <v>65755.564372835899</v>
      </c>
      <c r="E25" s="331">
        <f t="shared" si="7"/>
        <v>78826.844858495839</v>
      </c>
      <c r="F25" s="331">
        <f t="shared" si="7"/>
        <v>86717.844858495839</v>
      </c>
      <c r="G25" s="331">
        <f t="shared" si="7"/>
        <v>93741.844858495839</v>
      </c>
      <c r="H25" s="331">
        <f t="shared" si="7"/>
        <v>100203.84485849584</v>
      </c>
      <c r="I25" s="331">
        <f t="shared" si="7"/>
        <v>105801.84485849584</v>
      </c>
      <c r="K25" s="446" t="s">
        <v>115</v>
      </c>
      <c r="L25" s="331">
        <f t="shared" ref="L25:S25" si="8">B15-B25</f>
        <v>0</v>
      </c>
      <c r="M25" s="331">
        <f t="shared" si="8"/>
        <v>0</v>
      </c>
      <c r="N25" s="331">
        <f t="shared" si="8"/>
        <v>0</v>
      </c>
      <c r="O25" s="331">
        <f t="shared" si="8"/>
        <v>0</v>
      </c>
      <c r="P25" s="331">
        <f t="shared" si="8"/>
        <v>2426</v>
      </c>
      <c r="Q25" s="331">
        <f t="shared" si="8"/>
        <v>1533.0936910500895</v>
      </c>
      <c r="R25" s="331">
        <f t="shared" si="8"/>
        <v>711.63005659190821</v>
      </c>
      <c r="S25" s="331">
        <f t="shared" si="8"/>
        <v>0</v>
      </c>
      <c r="U25" s="446" t="s">
        <v>115</v>
      </c>
      <c r="V25" s="447">
        <f t="shared" ref="V25:AC25" si="9">(B15-B25)/B25</f>
        <v>0</v>
      </c>
      <c r="W25" s="447">
        <f t="shared" si="9"/>
        <v>0</v>
      </c>
      <c r="X25" s="447">
        <f t="shared" si="9"/>
        <v>0</v>
      </c>
      <c r="Y25" s="447">
        <f t="shared" si="9"/>
        <v>0</v>
      </c>
      <c r="Z25" s="447">
        <f t="shared" si="9"/>
        <v>2.7975787497471719E-2</v>
      </c>
      <c r="AA25" s="447">
        <f t="shared" si="9"/>
        <v>1.6354422012542086E-2</v>
      </c>
      <c r="AB25" s="447">
        <f t="shared" si="9"/>
        <v>7.1018238631146927E-3</v>
      </c>
      <c r="AC25" s="447">
        <f t="shared" si="9"/>
        <v>0</v>
      </c>
    </row>
    <row r="26" spans="1:29">
      <c r="A26" s="442"/>
    </row>
    <row r="27" spans="1:29" s="7" customFormat="1" ht="27.6">
      <c r="A27" s="443" t="s">
        <v>117</v>
      </c>
      <c r="D27" s="8"/>
      <c r="F27" s="438"/>
      <c r="K27" s="8" t="s">
        <v>107</v>
      </c>
      <c r="N27" s="8"/>
      <c r="P27" s="438"/>
      <c r="U27" s="8" t="s">
        <v>108</v>
      </c>
      <c r="X27" s="8"/>
      <c r="Z27" s="438"/>
    </row>
    <row r="28" spans="1:29" s="7" customFormat="1" ht="12.6">
      <c r="A28" s="444"/>
      <c r="D28" s="8"/>
      <c r="N28" s="8"/>
      <c r="X28" s="8"/>
    </row>
    <row r="29" spans="1:29" s="7" customFormat="1" ht="25.2">
      <c r="A29" s="448"/>
      <c r="B29" s="449" t="s">
        <v>106</v>
      </c>
      <c r="H29" s="8"/>
      <c r="K29" s="450"/>
      <c r="L29" s="449" t="s">
        <v>106</v>
      </c>
      <c r="R29" s="8"/>
      <c r="U29" s="450"/>
      <c r="V29" s="449" t="s">
        <v>106</v>
      </c>
      <c r="AB29" s="8"/>
    </row>
    <row r="30" spans="1:29" s="7" customFormat="1" ht="12.6">
      <c r="A30" s="441" t="s">
        <v>113</v>
      </c>
      <c r="B30" s="331">
        <v>98727</v>
      </c>
      <c r="H30" s="8"/>
      <c r="K30" s="446" t="s">
        <v>113</v>
      </c>
      <c r="L30" s="331">
        <f>I15-B30</f>
        <v>7074.8448584958387</v>
      </c>
      <c r="R30" s="8"/>
      <c r="U30" s="446" t="s">
        <v>113</v>
      </c>
      <c r="V30" s="447">
        <f>(B20-B30)/B30</f>
        <v>-1</v>
      </c>
      <c r="AB30" s="8"/>
    </row>
    <row r="31" spans="1:29">
      <c r="A31" s="442"/>
    </row>
    <row r="32" spans="1:29">
      <c r="A32" s="442"/>
    </row>
    <row r="33" spans="1:29" s="7" customFormat="1" ht="15">
      <c r="A33" s="443" t="s">
        <v>118</v>
      </c>
      <c r="D33" s="8"/>
      <c r="F33" s="438"/>
      <c r="O33" s="8"/>
    </row>
    <row r="34" spans="1:29" s="7" customFormat="1" ht="12.6">
      <c r="A34" s="444"/>
      <c r="D34" s="8"/>
      <c r="O34" s="8"/>
    </row>
    <row r="35" spans="1:29" s="7" customFormat="1" ht="12.75" customHeight="1">
      <c r="A35" s="445"/>
      <c r="B35" s="649" t="s">
        <v>3</v>
      </c>
      <c r="C35" s="650"/>
      <c r="D35" s="650"/>
      <c r="E35" s="651"/>
      <c r="F35" s="655" t="s">
        <v>4</v>
      </c>
      <c r="G35" s="664" t="s">
        <v>5</v>
      </c>
      <c r="H35" s="657"/>
      <c r="I35" s="658"/>
      <c r="O35" s="8"/>
    </row>
    <row r="36" spans="1:29" s="7" customFormat="1" ht="12.45" customHeight="1">
      <c r="A36" s="439"/>
      <c r="B36" s="652"/>
      <c r="C36" s="653"/>
      <c r="D36" s="653"/>
      <c r="E36" s="654"/>
      <c r="F36" s="656"/>
      <c r="G36" s="646"/>
      <c r="H36" s="647"/>
      <c r="I36" s="648"/>
      <c r="O36" s="8"/>
    </row>
    <row r="37" spans="1:29" s="7" customFormat="1" ht="12.6">
      <c r="A37" s="440"/>
      <c r="B37" s="286">
        <v>2014</v>
      </c>
      <c r="C37" s="353">
        <v>2015</v>
      </c>
      <c r="D37" s="353">
        <v>2016</v>
      </c>
      <c r="E37" s="354">
        <v>2017</v>
      </c>
      <c r="F37" s="353">
        <v>2018</v>
      </c>
      <c r="G37" s="354">
        <v>2019</v>
      </c>
      <c r="H37" s="353">
        <v>2020</v>
      </c>
      <c r="I37" s="355">
        <v>2021</v>
      </c>
      <c r="O37" s="8"/>
    </row>
    <row r="38" spans="1:29" s="7" customFormat="1" ht="12.6">
      <c r="A38" s="441" t="s">
        <v>119</v>
      </c>
      <c r="B38" s="451"/>
      <c r="C38" s="452"/>
      <c r="D38" s="452"/>
      <c r="E38" s="452"/>
      <c r="F38" s="452"/>
      <c r="G38" s="452"/>
      <c r="H38" s="452"/>
      <c r="I38" s="452"/>
      <c r="O38" s="8"/>
    </row>
    <row r="39" spans="1:29" s="7" customFormat="1" ht="12.6">
      <c r="A39" s="441" t="s">
        <v>120</v>
      </c>
      <c r="B39" s="451">
        <f>B47</f>
        <v>24.686236000000001</v>
      </c>
      <c r="C39" s="451">
        <f t="shared" ref="C39:E39" si="10">C47</f>
        <v>18.632222846249999</v>
      </c>
      <c r="D39" s="451">
        <f t="shared" si="10"/>
        <v>11.57</v>
      </c>
      <c r="E39" s="451">
        <f t="shared" si="10"/>
        <v>11.53</v>
      </c>
      <c r="F39" s="453">
        <v>9.6072270466665994</v>
      </c>
      <c r="G39" s="454">
        <v>15.205137178583318</v>
      </c>
      <c r="H39" s="454">
        <v>15.205137178583318</v>
      </c>
      <c r="I39" s="454">
        <v>15.205137178583318</v>
      </c>
      <c r="O39" s="8"/>
    </row>
    <row r="40" spans="1:29" s="7" customFormat="1" ht="12.6">
      <c r="A40" s="441" t="s">
        <v>121</v>
      </c>
      <c r="B40" s="451">
        <f>B38-B39</f>
        <v>-24.686236000000001</v>
      </c>
      <c r="C40" s="451">
        <f t="shared" ref="C40:I40" si="11">$B$38-C39</f>
        <v>-18.632222846249999</v>
      </c>
      <c r="D40" s="451">
        <f t="shared" si="11"/>
        <v>-11.57</v>
      </c>
      <c r="E40" s="451">
        <f t="shared" si="11"/>
        <v>-11.53</v>
      </c>
      <c r="F40" s="451">
        <f t="shared" si="11"/>
        <v>-9.6072270466665994</v>
      </c>
      <c r="G40" s="451">
        <f t="shared" si="11"/>
        <v>-15.205137178583318</v>
      </c>
      <c r="H40" s="451">
        <f t="shared" si="11"/>
        <v>-15.205137178583318</v>
      </c>
      <c r="I40" s="451">
        <f t="shared" si="11"/>
        <v>-15.205137178583318</v>
      </c>
      <c r="O40" s="8"/>
    </row>
    <row r="41" spans="1:29">
      <c r="A41" s="442"/>
    </row>
    <row r="42" spans="1:29" s="7" customFormat="1" ht="15">
      <c r="A42" s="443" t="s">
        <v>122</v>
      </c>
      <c r="D42" s="8"/>
      <c r="F42" s="438"/>
      <c r="K42" s="8" t="s">
        <v>123</v>
      </c>
      <c r="N42" s="8"/>
      <c r="P42" s="438"/>
      <c r="U42" s="8" t="s">
        <v>50</v>
      </c>
      <c r="X42" s="8"/>
      <c r="Z42" s="438"/>
    </row>
    <row r="43" spans="1:29" s="7" customFormat="1" ht="12.6">
      <c r="A43" s="444"/>
      <c r="D43" s="8"/>
      <c r="N43" s="8"/>
      <c r="X43" s="8"/>
    </row>
    <row r="44" spans="1:29" s="7" customFormat="1" ht="12.75" customHeight="1">
      <c r="A44" s="445"/>
      <c r="B44" s="649" t="s">
        <v>3</v>
      </c>
      <c r="C44" s="650"/>
      <c r="D44" s="650"/>
      <c r="E44" s="651"/>
      <c r="F44" s="655" t="s">
        <v>4</v>
      </c>
      <c r="G44" s="664" t="s">
        <v>5</v>
      </c>
      <c r="H44" s="657"/>
      <c r="I44" s="658"/>
      <c r="K44" s="10"/>
      <c r="L44" s="649" t="s">
        <v>3</v>
      </c>
      <c r="M44" s="650"/>
      <c r="N44" s="650"/>
      <c r="O44" s="651"/>
      <c r="P44" s="655" t="s">
        <v>4</v>
      </c>
      <c r="Q44" s="657" t="s">
        <v>5</v>
      </c>
      <c r="R44" s="657"/>
      <c r="S44" s="658"/>
      <c r="U44" s="10"/>
      <c r="V44" s="662" t="s">
        <v>3</v>
      </c>
      <c r="W44" s="650" t="s">
        <v>5</v>
      </c>
      <c r="X44" s="650"/>
      <c r="Y44" s="650"/>
      <c r="Z44" s="650"/>
      <c r="AA44" s="650"/>
      <c r="AB44" s="650"/>
      <c r="AC44" s="651"/>
    </row>
    <row r="45" spans="1:29" s="7" customFormat="1" ht="12.6">
      <c r="A45" s="439"/>
      <c r="B45" s="652"/>
      <c r="C45" s="653"/>
      <c r="D45" s="653"/>
      <c r="E45" s="654"/>
      <c r="F45" s="656"/>
      <c r="G45" s="646"/>
      <c r="H45" s="647"/>
      <c r="I45" s="648"/>
      <c r="K45" s="11"/>
      <c r="L45" s="652"/>
      <c r="M45" s="653"/>
      <c r="N45" s="653"/>
      <c r="O45" s="654"/>
      <c r="P45" s="656"/>
      <c r="Q45" s="647"/>
      <c r="R45" s="647"/>
      <c r="S45" s="648"/>
      <c r="U45" s="11"/>
      <c r="V45" s="662"/>
      <c r="W45" s="653"/>
      <c r="X45" s="653"/>
      <c r="Y45" s="653"/>
      <c r="Z45" s="653"/>
      <c r="AA45" s="653"/>
      <c r="AB45" s="653"/>
      <c r="AC45" s="654"/>
    </row>
    <row r="46" spans="1:29" s="7" customFormat="1" ht="12.6">
      <c r="A46" s="440"/>
      <c r="B46" s="286">
        <v>2014</v>
      </c>
      <c r="C46" s="353">
        <v>2015</v>
      </c>
      <c r="D46" s="353">
        <v>2016</v>
      </c>
      <c r="E46" s="354">
        <v>2017</v>
      </c>
      <c r="F46" s="353">
        <v>2018</v>
      </c>
      <c r="G46" s="354">
        <v>2019</v>
      </c>
      <c r="H46" s="353">
        <v>2020</v>
      </c>
      <c r="I46" s="355">
        <v>2021</v>
      </c>
      <c r="K46" s="12"/>
      <c r="L46" s="286">
        <v>2014</v>
      </c>
      <c r="M46" s="353">
        <v>2015</v>
      </c>
      <c r="N46" s="353">
        <v>2016</v>
      </c>
      <c r="O46" s="354">
        <v>2017</v>
      </c>
      <c r="P46" s="353">
        <v>2018</v>
      </c>
      <c r="Q46" s="354">
        <v>2019</v>
      </c>
      <c r="R46" s="353">
        <v>2020</v>
      </c>
      <c r="S46" s="355">
        <v>2021</v>
      </c>
      <c r="U46" s="12"/>
      <c r="V46" s="286">
        <v>2014</v>
      </c>
      <c r="W46" s="353">
        <v>2015</v>
      </c>
      <c r="X46" s="353">
        <v>2016</v>
      </c>
      <c r="Y46" s="354">
        <v>2017</v>
      </c>
      <c r="Z46" s="353">
        <v>2018</v>
      </c>
      <c r="AA46" s="354">
        <v>2019</v>
      </c>
      <c r="AB46" s="353">
        <v>2020</v>
      </c>
      <c r="AC46" s="355">
        <v>2021</v>
      </c>
    </row>
    <row r="47" spans="1:29" s="7" customFormat="1" ht="12.6">
      <c r="A47" s="441" t="s">
        <v>120</v>
      </c>
      <c r="B47" s="455">
        <v>24.686236000000001</v>
      </c>
      <c r="C47" s="455">
        <v>18.632222846249999</v>
      </c>
      <c r="D47" s="455">
        <v>11.57</v>
      </c>
      <c r="E47" s="455">
        <v>11.53</v>
      </c>
      <c r="F47" s="455">
        <v>24.18</v>
      </c>
      <c r="G47" s="455">
        <v>24.18</v>
      </c>
      <c r="H47" s="455">
        <v>24.18</v>
      </c>
      <c r="I47" s="455">
        <v>24.18</v>
      </c>
      <c r="K47" s="446" t="s">
        <v>120</v>
      </c>
      <c r="L47" s="331">
        <f t="shared" ref="L47:S48" si="12">B39-B47</f>
        <v>0</v>
      </c>
      <c r="M47" s="331">
        <f t="shared" si="12"/>
        <v>0</v>
      </c>
      <c r="N47" s="331">
        <f t="shared" si="12"/>
        <v>0</v>
      </c>
      <c r="O47" s="331">
        <f t="shared" si="12"/>
        <v>0</v>
      </c>
      <c r="P47" s="331">
        <f t="shared" si="12"/>
        <v>-14.5727729533334</v>
      </c>
      <c r="Q47" s="331">
        <f t="shared" si="12"/>
        <v>-8.9748628214166821</v>
      </c>
      <c r="R47" s="331">
        <f t="shared" si="12"/>
        <v>-8.9748628214166821</v>
      </c>
      <c r="S47" s="331">
        <f t="shared" si="12"/>
        <v>-8.9748628214166821</v>
      </c>
      <c r="U47" s="446" t="s">
        <v>124</v>
      </c>
      <c r="V47" s="447">
        <f t="shared" ref="V47:AC47" si="13">(B39-B47)/B47</f>
        <v>0</v>
      </c>
      <c r="W47" s="447">
        <f t="shared" si="13"/>
        <v>0</v>
      </c>
      <c r="X47" s="447">
        <f t="shared" si="13"/>
        <v>0</v>
      </c>
      <c r="Y47" s="447">
        <f t="shared" si="13"/>
        <v>0</v>
      </c>
      <c r="Z47" s="447">
        <f t="shared" si="13"/>
        <v>-0.60267878218913984</v>
      </c>
      <c r="AA47" s="447">
        <f t="shared" si="13"/>
        <v>-0.37116885117521431</v>
      </c>
      <c r="AB47" s="447">
        <f t="shared" si="13"/>
        <v>-0.37116885117521431</v>
      </c>
      <c r="AC47" s="447">
        <f t="shared" si="13"/>
        <v>-0.37116885117521431</v>
      </c>
    </row>
    <row r="48" spans="1:29" s="7" customFormat="1" ht="12.6">
      <c r="A48" s="441" t="s">
        <v>121</v>
      </c>
      <c r="B48" s="455">
        <v>-24.686236000000001</v>
      </c>
      <c r="C48" s="455">
        <v>-18.632222846249999</v>
      </c>
      <c r="D48" s="455">
        <v>-11.57</v>
      </c>
      <c r="E48" s="455">
        <v>-11.53</v>
      </c>
      <c r="F48" s="455">
        <v>-24.18</v>
      </c>
      <c r="G48" s="455">
        <v>-24.18</v>
      </c>
      <c r="H48" s="455">
        <v>-24.18</v>
      </c>
      <c r="I48" s="455">
        <v>-24.18</v>
      </c>
      <c r="K48" s="446" t="s">
        <v>121</v>
      </c>
      <c r="L48" s="331">
        <f t="shared" si="12"/>
        <v>0</v>
      </c>
      <c r="M48" s="331">
        <f t="shared" si="12"/>
        <v>0</v>
      </c>
      <c r="N48" s="331">
        <f t="shared" si="12"/>
        <v>0</v>
      </c>
      <c r="O48" s="331">
        <f t="shared" si="12"/>
        <v>0</v>
      </c>
      <c r="P48" s="331">
        <f t="shared" si="12"/>
        <v>14.5727729533334</v>
      </c>
      <c r="Q48" s="331">
        <f t="shared" si="12"/>
        <v>8.9748628214166821</v>
      </c>
      <c r="R48" s="331">
        <f t="shared" si="12"/>
        <v>8.9748628214166821</v>
      </c>
      <c r="S48" s="331">
        <f t="shared" si="12"/>
        <v>8.9748628214166821</v>
      </c>
      <c r="U48" s="446"/>
      <c r="V48" s="331"/>
      <c r="W48" s="331"/>
      <c r="X48" s="331"/>
      <c r="Y48" s="331"/>
      <c r="Z48" s="331"/>
      <c r="AA48" s="331"/>
      <c r="AB48" s="331"/>
      <c r="AC48" s="331"/>
    </row>
    <row r="49" spans="1:9">
      <c r="A49" s="442"/>
    </row>
    <row r="50" spans="1:9">
      <c r="A50" s="442"/>
    </row>
    <row r="51" spans="1:9" ht="12.75" customHeight="1">
      <c r="A51" s="443" t="s">
        <v>125</v>
      </c>
      <c r="B51" s="649" t="s">
        <v>3</v>
      </c>
      <c r="C51" s="650"/>
      <c r="D51" s="650"/>
      <c r="E51" s="651"/>
      <c r="F51" s="655" t="s">
        <v>4</v>
      </c>
      <c r="G51" s="664" t="s">
        <v>5</v>
      </c>
      <c r="H51" s="657"/>
      <c r="I51" s="658"/>
    </row>
    <row r="52" spans="1:9">
      <c r="A52" s="442"/>
      <c r="B52" s="652"/>
      <c r="C52" s="653"/>
      <c r="D52" s="653"/>
      <c r="E52" s="654"/>
      <c r="F52" s="656"/>
      <c r="G52" s="646"/>
      <c r="H52" s="647"/>
      <c r="I52" s="648"/>
    </row>
    <row r="53" spans="1:9">
      <c r="A53" s="456"/>
      <c r="B53" s="457">
        <v>2014</v>
      </c>
      <c r="C53" s="458">
        <v>2015</v>
      </c>
      <c r="D53" s="458">
        <v>2016</v>
      </c>
      <c r="E53" s="459">
        <v>2017</v>
      </c>
      <c r="F53" s="458">
        <v>2018</v>
      </c>
      <c r="G53" s="459">
        <v>2019</v>
      </c>
      <c r="H53" s="458">
        <v>2020</v>
      </c>
      <c r="I53" s="460">
        <v>2021</v>
      </c>
    </row>
    <row r="54" spans="1:9">
      <c r="A54" s="461" t="s">
        <v>126</v>
      </c>
      <c r="B54" s="331">
        <v>90885</v>
      </c>
      <c r="C54" s="331">
        <v>87141</v>
      </c>
      <c r="D54" s="331">
        <v>85471</v>
      </c>
      <c r="E54" s="331">
        <v>83758</v>
      </c>
      <c r="F54" s="462">
        <v>83348</v>
      </c>
      <c r="G54" s="463"/>
      <c r="H54" s="463"/>
      <c r="I54" s="463"/>
    </row>
    <row r="55" spans="1:9">
      <c r="A55" s="464"/>
      <c r="B55" s="463"/>
      <c r="C55" s="463"/>
      <c r="D55" s="463"/>
      <c r="E55" s="463"/>
      <c r="F55" s="463"/>
      <c r="G55" s="463"/>
      <c r="H55" s="463"/>
      <c r="I55" s="463"/>
    </row>
    <row r="56" spans="1:9">
      <c r="A56" s="465" t="s">
        <v>127</v>
      </c>
      <c r="B56" s="466"/>
      <c r="C56" s="466"/>
      <c r="D56" s="466"/>
      <c r="E56" s="466"/>
      <c r="F56" s="466"/>
      <c r="G56" s="466"/>
      <c r="H56" s="466"/>
      <c r="I56" s="466"/>
    </row>
    <row r="57" spans="1:9" ht="25.8">
      <c r="A57" s="467" t="s">
        <v>128</v>
      </c>
      <c r="B57" s="331">
        <v>33617</v>
      </c>
      <c r="C57" s="331">
        <v>32066</v>
      </c>
      <c r="D57" s="331">
        <v>31341</v>
      </c>
      <c r="E57" s="331">
        <v>29587</v>
      </c>
      <c r="F57" s="331">
        <v>29139</v>
      </c>
      <c r="G57" s="466"/>
      <c r="H57" s="466"/>
      <c r="I57" s="466"/>
    </row>
    <row r="58" spans="1:9">
      <c r="A58" s="467" t="s">
        <v>129</v>
      </c>
      <c r="B58" s="331">
        <v>33444</v>
      </c>
      <c r="C58" s="331">
        <v>31938</v>
      </c>
      <c r="D58" s="331">
        <v>31217</v>
      </c>
      <c r="E58" s="331">
        <v>29399</v>
      </c>
      <c r="F58" s="331">
        <v>28743</v>
      </c>
      <c r="G58" s="468"/>
      <c r="H58" s="468"/>
      <c r="I58" s="468"/>
    </row>
    <row r="59" spans="1:9" ht="25.8">
      <c r="A59" s="469" t="s">
        <v>130</v>
      </c>
      <c r="B59" s="470">
        <v>0.99485379421126219</v>
      </c>
      <c r="C59" s="470">
        <v>0.99600823301939745</v>
      </c>
      <c r="D59" s="471">
        <v>0.99604352126607321</v>
      </c>
      <c r="E59" s="471">
        <v>0.99364585797816607</v>
      </c>
      <c r="F59" s="471">
        <v>0.98640996602491504</v>
      </c>
      <c r="G59" s="468"/>
      <c r="H59" s="468"/>
      <c r="I59" s="468"/>
    </row>
    <row r="60" spans="1:9">
      <c r="A60" s="472"/>
      <c r="B60" s="468"/>
      <c r="C60" s="468"/>
      <c r="D60" s="468"/>
      <c r="E60" s="468"/>
      <c r="F60" s="468"/>
      <c r="G60" s="468"/>
      <c r="H60" s="468"/>
      <c r="I60" s="468"/>
    </row>
    <row r="61" spans="1:9">
      <c r="A61" s="473" t="s">
        <v>131</v>
      </c>
      <c r="B61" s="468"/>
      <c r="C61" s="468"/>
      <c r="D61" s="468"/>
      <c r="E61" s="468"/>
      <c r="F61" s="468"/>
      <c r="G61" s="468"/>
      <c r="H61" s="468"/>
      <c r="I61" s="468"/>
    </row>
    <row r="62" spans="1:9" ht="25.8">
      <c r="A62" s="467" t="s">
        <v>132</v>
      </c>
      <c r="B62" s="331">
        <v>57268</v>
      </c>
      <c r="C62" s="331">
        <v>55075</v>
      </c>
      <c r="D62" s="331">
        <v>54130</v>
      </c>
      <c r="E62" s="331">
        <v>54171</v>
      </c>
      <c r="F62" s="331">
        <v>54209</v>
      </c>
      <c r="G62" s="468"/>
      <c r="H62" s="468"/>
      <c r="I62" s="468"/>
    </row>
    <row r="63" spans="1:9">
      <c r="A63" s="467" t="s">
        <v>133</v>
      </c>
      <c r="B63" s="331">
        <v>56314</v>
      </c>
      <c r="C63" s="331">
        <v>54236</v>
      </c>
      <c r="D63" s="331">
        <v>53365</v>
      </c>
      <c r="E63" s="331">
        <v>53332</v>
      </c>
      <c r="F63" s="331">
        <v>53126</v>
      </c>
      <c r="G63" s="468"/>
      <c r="H63" s="468"/>
      <c r="I63" s="468"/>
    </row>
    <row r="64" spans="1:9" ht="25.8">
      <c r="A64" s="469" t="s">
        <v>134</v>
      </c>
      <c r="B64" s="474">
        <v>0.98334148215408257</v>
      </c>
      <c r="C64" s="474">
        <v>0.98476622787108492</v>
      </c>
      <c r="D64" s="471">
        <v>0.98586735636430811</v>
      </c>
      <c r="E64" s="471">
        <v>0.98451200827010765</v>
      </c>
      <c r="F64" s="471">
        <v>0.98002176760316551</v>
      </c>
      <c r="G64" s="468"/>
      <c r="H64" s="468"/>
      <c r="I64" s="468"/>
    </row>
    <row r="65" spans="1:9" ht="25.8">
      <c r="A65" s="469" t="s">
        <v>135</v>
      </c>
      <c r="B65" s="474">
        <v>0.46650000000000003</v>
      </c>
      <c r="C65" s="474">
        <v>0.49469999999999997</v>
      </c>
      <c r="D65" s="474">
        <v>0.52600000000000002</v>
      </c>
      <c r="E65" s="474">
        <v>0.52400000000000002</v>
      </c>
      <c r="F65" s="475">
        <v>0.53878722640832433</v>
      </c>
      <c r="G65" s="476"/>
      <c r="H65" s="476"/>
      <c r="I65" s="476"/>
    </row>
    <row r="66" spans="1:9">
      <c r="A66" s="442"/>
    </row>
    <row r="67" spans="1:9" ht="25.8">
      <c r="A67" s="443" t="s">
        <v>136</v>
      </c>
      <c r="B67" s="649" t="s">
        <v>3</v>
      </c>
      <c r="C67" s="650"/>
      <c r="D67" s="650"/>
      <c r="E67" s="651"/>
      <c r="F67" s="655" t="s">
        <v>4</v>
      </c>
      <c r="G67" s="664" t="s">
        <v>5</v>
      </c>
      <c r="H67" s="657"/>
      <c r="I67" s="658"/>
    </row>
    <row r="68" spans="1:9">
      <c r="A68" s="443"/>
      <c r="B68" s="652"/>
      <c r="C68" s="653"/>
      <c r="D68" s="653"/>
      <c r="E68" s="654"/>
      <c r="F68" s="656"/>
      <c r="G68" s="646"/>
      <c r="H68" s="647"/>
      <c r="I68" s="648"/>
    </row>
    <row r="69" spans="1:9" ht="13.8">
      <c r="A69" s="477"/>
      <c r="B69" s="457">
        <v>2014</v>
      </c>
      <c r="C69" s="458">
        <v>2015</v>
      </c>
      <c r="D69" s="458">
        <v>2016</v>
      </c>
      <c r="E69" s="459">
        <v>2017</v>
      </c>
      <c r="F69" s="458">
        <v>2018</v>
      </c>
      <c r="G69" s="459">
        <v>2019</v>
      </c>
      <c r="H69" s="458">
        <v>2020</v>
      </c>
      <c r="I69" s="460">
        <v>2021</v>
      </c>
    </row>
    <row r="70" spans="1:9" ht="26.4">
      <c r="A70" s="478" t="s">
        <v>137</v>
      </c>
      <c r="B70" s="331">
        <v>1</v>
      </c>
      <c r="C70" s="331">
        <v>3</v>
      </c>
      <c r="D70" s="331">
        <v>11</v>
      </c>
      <c r="E70" s="331">
        <v>11</v>
      </c>
      <c r="F70" s="479">
        <v>23</v>
      </c>
      <c r="G70" s="480">
        <v>20</v>
      </c>
      <c r="H70" s="480">
        <v>20</v>
      </c>
      <c r="I70" s="480">
        <v>20</v>
      </c>
    </row>
    <row r="71" spans="1:9" ht="26.4">
      <c r="A71" s="481" t="s">
        <v>138</v>
      </c>
      <c r="B71" s="331">
        <v>37</v>
      </c>
      <c r="C71" s="331">
        <v>45</v>
      </c>
      <c r="D71" s="331">
        <v>35</v>
      </c>
      <c r="E71" s="331">
        <v>37</v>
      </c>
      <c r="F71" s="331">
        <v>75</v>
      </c>
      <c r="G71" s="482"/>
      <c r="H71" s="482"/>
      <c r="I71" s="482"/>
    </row>
    <row r="72" spans="1:9">
      <c r="A72" s="442"/>
    </row>
    <row r="73" spans="1:9" ht="25.8">
      <c r="A73" s="443" t="s">
        <v>139</v>
      </c>
      <c r="B73" s="649" t="s">
        <v>3</v>
      </c>
      <c r="C73" s="650"/>
      <c r="D73" s="650"/>
      <c r="E73" s="651"/>
      <c r="F73" s="655" t="s">
        <v>4</v>
      </c>
      <c r="G73" s="664" t="s">
        <v>5</v>
      </c>
      <c r="H73" s="657"/>
      <c r="I73" s="658"/>
    </row>
    <row r="74" spans="1:9">
      <c r="A74" s="443"/>
      <c r="B74" s="652"/>
      <c r="C74" s="653"/>
      <c r="D74" s="653"/>
      <c r="E74" s="654"/>
      <c r="F74" s="656"/>
      <c r="G74" s="646"/>
      <c r="H74" s="647"/>
      <c r="I74" s="648"/>
    </row>
    <row r="75" spans="1:9">
      <c r="A75" s="443"/>
      <c r="B75" s="457">
        <v>2014</v>
      </c>
      <c r="C75" s="458">
        <v>2015</v>
      </c>
      <c r="D75" s="458">
        <v>2016</v>
      </c>
      <c r="E75" s="459">
        <v>2017</v>
      </c>
      <c r="F75" s="458">
        <v>2018</v>
      </c>
      <c r="G75" s="459">
        <v>2019</v>
      </c>
      <c r="H75" s="458">
        <v>2020</v>
      </c>
      <c r="I75" s="460">
        <v>2021</v>
      </c>
    </row>
    <row r="76" spans="1:9">
      <c r="A76" s="481" t="s">
        <v>140</v>
      </c>
      <c r="B76" s="331">
        <v>581</v>
      </c>
      <c r="C76" s="331">
        <v>616</v>
      </c>
      <c r="D76" s="331">
        <v>519</v>
      </c>
      <c r="E76" s="331">
        <v>679</v>
      </c>
      <c r="F76" s="483">
        <v>761</v>
      </c>
      <c r="G76" s="330">
        <v>631.20000000000005</v>
      </c>
      <c r="H76" s="330">
        <v>631.20000000000005</v>
      </c>
      <c r="I76" s="330">
        <v>631.20000000000005</v>
      </c>
    </row>
    <row r="77" spans="1:9">
      <c r="A77" s="442"/>
    </row>
    <row r="78" spans="1:9">
      <c r="A78" s="442"/>
    </row>
    <row r="79" spans="1:9" ht="12.75" customHeight="1">
      <c r="A79" s="443" t="s">
        <v>141</v>
      </c>
      <c r="B79" s="649" t="s">
        <v>3</v>
      </c>
      <c r="C79" s="650"/>
      <c r="D79" s="650"/>
      <c r="E79" s="651"/>
      <c r="F79" s="655" t="s">
        <v>4</v>
      </c>
      <c r="G79" s="664" t="s">
        <v>5</v>
      </c>
      <c r="H79" s="657"/>
      <c r="I79" s="658"/>
    </row>
    <row r="80" spans="1:9">
      <c r="A80" s="442"/>
      <c r="B80" s="652"/>
      <c r="C80" s="653"/>
      <c r="D80" s="653"/>
      <c r="E80" s="654"/>
      <c r="F80" s="656"/>
      <c r="G80" s="646"/>
      <c r="H80" s="647"/>
      <c r="I80" s="648"/>
    </row>
    <row r="81" spans="1:9">
      <c r="A81" s="442"/>
      <c r="B81" s="457">
        <v>2014</v>
      </c>
      <c r="C81" s="458">
        <v>2015</v>
      </c>
      <c r="D81" s="458">
        <v>2016</v>
      </c>
      <c r="E81" s="459">
        <v>2017</v>
      </c>
      <c r="F81" s="458">
        <v>2018</v>
      </c>
      <c r="G81" s="459">
        <v>2019</v>
      </c>
      <c r="H81" s="458">
        <v>2020</v>
      </c>
      <c r="I81" s="460">
        <v>2021</v>
      </c>
    </row>
    <row r="82" spans="1:9">
      <c r="A82" s="481" t="s">
        <v>142</v>
      </c>
      <c r="B82" s="484">
        <v>8.2802547770700632E-2</v>
      </c>
      <c r="C82" s="484">
        <v>0.02</v>
      </c>
      <c r="D82" s="484">
        <v>0.38</v>
      </c>
      <c r="E82" s="485">
        <v>0.2</v>
      </c>
      <c r="F82" s="485">
        <v>0.34</v>
      </c>
      <c r="G82" s="486">
        <v>0.11406824146981627</v>
      </c>
      <c r="H82" s="486">
        <v>0.11406824146981627</v>
      </c>
      <c r="I82" s="486">
        <v>0.11406824146981627</v>
      </c>
    </row>
    <row r="83" spans="1:9">
      <c r="A83" s="487" t="s">
        <v>143</v>
      </c>
      <c r="B83" s="484">
        <f>+B82</f>
        <v>8.2802547770700632E-2</v>
      </c>
      <c r="C83" s="484">
        <f>IF(ISERROR(+C82+B83),"",+C82+B83)</f>
        <v>0.10280254777070064</v>
      </c>
      <c r="D83" s="484">
        <f t="shared" ref="D83:I83" si="14">IF(ISERROR(+D82+C83),"",+D82+C83)</f>
        <v>0.48280254777070064</v>
      </c>
      <c r="E83" s="484">
        <f t="shared" si="14"/>
        <v>0.68280254777070071</v>
      </c>
      <c r="F83" s="484">
        <f t="shared" si="14"/>
        <v>1.0228025477707008</v>
      </c>
      <c r="G83" s="484">
        <f t="shared" si="14"/>
        <v>1.136870789240517</v>
      </c>
      <c r="H83" s="484">
        <f t="shared" si="14"/>
        <v>1.2509390307103332</v>
      </c>
      <c r="I83" s="484">
        <f t="shared" si="14"/>
        <v>1.3650072721801494</v>
      </c>
    </row>
  </sheetData>
  <mergeCells count="33">
    <mergeCell ref="B9:E10"/>
    <mergeCell ref="F9:F10"/>
    <mergeCell ref="G9:I10"/>
    <mergeCell ref="B19:E20"/>
    <mergeCell ref="F19:F20"/>
    <mergeCell ref="G19:I20"/>
    <mergeCell ref="L19:L20"/>
    <mergeCell ref="M19:S20"/>
    <mergeCell ref="V19:V20"/>
    <mergeCell ref="W19:AC20"/>
    <mergeCell ref="B35:E36"/>
    <mergeCell ref="F35:F36"/>
    <mergeCell ref="G35:I36"/>
    <mergeCell ref="B67:E68"/>
    <mergeCell ref="F67:F68"/>
    <mergeCell ref="G67:I68"/>
    <mergeCell ref="B44:E45"/>
    <mergeCell ref="F44:F45"/>
    <mergeCell ref="G44:I45"/>
    <mergeCell ref="V44:V45"/>
    <mergeCell ref="W44:AC45"/>
    <mergeCell ref="B51:E52"/>
    <mergeCell ref="F51:F52"/>
    <mergeCell ref="G51:I52"/>
    <mergeCell ref="L44:O45"/>
    <mergeCell ref="P44:P45"/>
    <mergeCell ref="Q44:S45"/>
    <mergeCell ref="B73:E74"/>
    <mergeCell ref="F73:F74"/>
    <mergeCell ref="G73:I74"/>
    <mergeCell ref="B79:E80"/>
    <mergeCell ref="F79:F80"/>
    <mergeCell ref="G79:I80"/>
  </mergeCells>
  <pageMargins left="0.70866141732283472" right="0.70866141732283472" top="0.74803149606299213" bottom="0.74803149606299213" header="0.31496062992125984" footer="0.31496062992125984"/>
  <pageSetup paperSize="8" scale="58" fitToWidth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colBreaks count="1" manualBreakCount="1">
    <brk id="10" max="8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133"/>
  <sheetViews>
    <sheetView view="pageBreakPreview" zoomScale="85" zoomScaleNormal="85" zoomScaleSheetLayoutView="85" workbookViewId="0">
      <selection activeCell="J10" sqref="J10"/>
    </sheetView>
  </sheetViews>
  <sheetFormatPr defaultRowHeight="13.2"/>
  <cols>
    <col min="1" max="1" width="45.5546875" customWidth="1"/>
    <col min="2" max="10" width="14.44140625" customWidth="1"/>
    <col min="12" max="12" width="29.44140625" customWidth="1"/>
    <col min="13" max="13" width="14.5546875" bestFit="1" customWidth="1"/>
    <col min="14" max="20" width="11.44140625" customWidth="1"/>
    <col min="21" max="21" width="14.5546875" bestFit="1" customWidth="1"/>
    <col min="23" max="23" width="29.5546875" customWidth="1"/>
    <col min="24" max="24" width="13.88671875" bestFit="1" customWidth="1"/>
    <col min="25" max="32" width="11.5546875" customWidth="1"/>
  </cols>
  <sheetData>
    <row r="1" spans="1:32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7"/>
      <c r="B4" s="7"/>
      <c r="C4" s="7"/>
      <c r="D4" s="8"/>
      <c r="E4" s="7"/>
      <c r="F4" s="7"/>
      <c r="G4" s="7"/>
      <c r="H4" s="7"/>
      <c r="I4" s="7"/>
      <c r="J4" s="7"/>
    </row>
    <row r="5" spans="1:32" ht="16.2">
      <c r="A5" s="437" t="s">
        <v>144</v>
      </c>
      <c r="B5" s="7"/>
      <c r="C5" s="7"/>
      <c r="D5" s="8"/>
      <c r="E5" s="7"/>
      <c r="F5" s="7"/>
      <c r="G5" s="7"/>
      <c r="H5" s="7"/>
      <c r="I5" s="7"/>
      <c r="J5" s="7"/>
    </row>
    <row r="6" spans="1:32" ht="19.8">
      <c r="A6" s="1"/>
      <c r="B6" s="7"/>
      <c r="C6" s="7"/>
      <c r="D6" s="8"/>
      <c r="E6" s="7"/>
      <c r="F6" s="7"/>
      <c r="G6" s="7"/>
      <c r="H6" s="7"/>
      <c r="I6" s="7"/>
      <c r="J6" s="7"/>
    </row>
    <row r="7" spans="1:32" ht="16.2">
      <c r="A7" s="437" t="s">
        <v>145</v>
      </c>
      <c r="B7" s="7"/>
      <c r="C7" s="7"/>
      <c r="D7" s="8"/>
      <c r="E7" s="7"/>
      <c r="F7" s="7"/>
      <c r="G7" s="7"/>
      <c r="H7" s="7"/>
      <c r="I7" s="7"/>
      <c r="J7" s="7"/>
    </row>
    <row r="8" spans="1:32">
      <c r="A8" s="7"/>
      <c r="B8" s="7"/>
      <c r="C8" s="7"/>
      <c r="D8" s="8"/>
      <c r="E8" s="7"/>
      <c r="F8" s="7"/>
      <c r="G8" s="7"/>
      <c r="H8" s="7"/>
      <c r="I8" s="7"/>
      <c r="J8" s="7"/>
    </row>
    <row r="9" spans="1:32" ht="15">
      <c r="A9" s="8" t="s">
        <v>146</v>
      </c>
      <c r="B9" s="7"/>
      <c r="C9" s="7"/>
      <c r="D9" s="8"/>
      <c r="E9" s="7"/>
      <c r="F9" s="438"/>
      <c r="G9" s="7"/>
      <c r="H9" s="7"/>
      <c r="I9" s="7"/>
      <c r="J9" s="7"/>
    </row>
    <row r="10" spans="1:32">
      <c r="A10" s="7"/>
      <c r="B10" s="7"/>
      <c r="C10" s="7"/>
      <c r="D10" s="8"/>
      <c r="E10" s="7"/>
      <c r="F10" s="7"/>
      <c r="G10" s="7"/>
      <c r="H10" s="7"/>
      <c r="I10" s="7"/>
      <c r="J10" s="7"/>
    </row>
    <row r="11" spans="1:32" ht="12.75" customHeight="1">
      <c r="A11" s="10"/>
      <c r="B11" s="649" t="s">
        <v>3</v>
      </c>
      <c r="C11" s="650"/>
      <c r="D11" s="650"/>
      <c r="E11" s="651"/>
      <c r="F11" s="655" t="s">
        <v>4</v>
      </c>
      <c r="G11" s="657" t="s">
        <v>5</v>
      </c>
      <c r="H11" s="657"/>
      <c r="I11" s="658"/>
      <c r="J11" s="348"/>
    </row>
    <row r="12" spans="1:32">
      <c r="A12" s="11"/>
      <c r="B12" s="652"/>
      <c r="C12" s="653"/>
      <c r="D12" s="653"/>
      <c r="E12" s="654"/>
      <c r="F12" s="656"/>
      <c r="G12" s="647"/>
      <c r="H12" s="647"/>
      <c r="I12" s="648"/>
      <c r="J12" s="488"/>
    </row>
    <row r="13" spans="1:32" ht="25.8">
      <c r="A13" s="12"/>
      <c r="B13" s="286">
        <v>2014</v>
      </c>
      <c r="C13" s="353">
        <v>2015</v>
      </c>
      <c r="D13" s="353">
        <v>2016</v>
      </c>
      <c r="E13" s="354">
        <v>2017</v>
      </c>
      <c r="F13" s="353">
        <v>2018</v>
      </c>
      <c r="G13" s="354">
        <v>2019</v>
      </c>
      <c r="H13" s="353">
        <v>2020</v>
      </c>
      <c r="I13" s="355">
        <v>2021</v>
      </c>
      <c r="J13" s="356" t="s">
        <v>6</v>
      </c>
    </row>
    <row r="14" spans="1:32">
      <c r="A14" s="446" t="s">
        <v>147</v>
      </c>
      <c r="B14" s="331">
        <f t="shared" ref="B14:E15" si="0">+B23</f>
        <v>53085</v>
      </c>
      <c r="C14" s="331">
        <f t="shared" si="0"/>
        <v>55623</v>
      </c>
      <c r="D14" s="331">
        <f t="shared" si="0"/>
        <v>45173</v>
      </c>
      <c r="E14" s="331">
        <f t="shared" si="0"/>
        <v>45470</v>
      </c>
      <c r="F14" s="483">
        <v>35461</v>
      </c>
      <c r="G14" s="330">
        <v>39167.845291555648</v>
      </c>
      <c r="H14" s="330">
        <v>39167.845291555648</v>
      </c>
      <c r="I14" s="330">
        <v>39167.845291555648</v>
      </c>
      <c r="J14" s="331">
        <f>SUM(B14:I14)</f>
        <v>352315.53587466688</v>
      </c>
    </row>
    <row r="15" spans="1:32">
      <c r="A15" s="446" t="s">
        <v>148</v>
      </c>
      <c r="B15" s="331">
        <f t="shared" si="0"/>
        <v>9478</v>
      </c>
      <c r="C15" s="331">
        <f t="shared" si="0"/>
        <v>10062</v>
      </c>
      <c r="D15" s="331">
        <f t="shared" si="0"/>
        <v>10768</v>
      </c>
      <c r="E15" s="331">
        <f t="shared" si="0"/>
        <v>9428</v>
      </c>
      <c r="F15" s="483">
        <v>8302</v>
      </c>
      <c r="G15" s="330">
        <v>9934</v>
      </c>
      <c r="H15" s="330">
        <v>9934</v>
      </c>
      <c r="I15" s="330">
        <v>9934</v>
      </c>
      <c r="J15" s="331">
        <f>SUM(B15:I15)</f>
        <v>77840</v>
      </c>
    </row>
    <row r="16" spans="1:32">
      <c r="A16" s="446" t="s">
        <v>149</v>
      </c>
      <c r="B16" s="331">
        <f>SUM(B14:B15)</f>
        <v>62563</v>
      </c>
      <c r="C16" s="331">
        <f>SUM(C14:C15)</f>
        <v>65685</v>
      </c>
      <c r="D16" s="331">
        <f t="shared" ref="D16:I16" si="1">SUM(D14:D15)</f>
        <v>55941</v>
      </c>
      <c r="E16" s="331">
        <f t="shared" si="1"/>
        <v>54898</v>
      </c>
      <c r="F16" s="331">
        <f t="shared" si="1"/>
        <v>43763</v>
      </c>
      <c r="G16" s="331">
        <f t="shared" si="1"/>
        <v>49101.845291555648</v>
      </c>
      <c r="H16" s="331">
        <f t="shared" si="1"/>
        <v>49101.845291555648</v>
      </c>
      <c r="I16" s="331">
        <f t="shared" si="1"/>
        <v>49101.845291555648</v>
      </c>
      <c r="J16" s="331">
        <f>SUM(B16:I16)</f>
        <v>430155.53587466688</v>
      </c>
    </row>
    <row r="18" spans="1:32" ht="15">
      <c r="A18" s="8" t="s">
        <v>150</v>
      </c>
      <c r="B18" s="7"/>
      <c r="C18" s="7"/>
      <c r="D18" s="8"/>
      <c r="E18" s="7"/>
      <c r="F18" s="438"/>
      <c r="G18" s="7"/>
      <c r="H18" s="7"/>
      <c r="I18" s="7"/>
      <c r="J18" s="7"/>
      <c r="L18" s="8" t="s">
        <v>49</v>
      </c>
      <c r="M18" s="7"/>
      <c r="N18" s="7"/>
      <c r="O18" s="8"/>
      <c r="P18" s="7"/>
      <c r="Q18" s="438"/>
      <c r="R18" s="7"/>
      <c r="S18" s="7"/>
      <c r="T18" s="7"/>
      <c r="U18" s="7"/>
      <c r="W18" s="8" t="s">
        <v>50</v>
      </c>
      <c r="X18" s="7"/>
      <c r="Y18" s="7"/>
      <c r="Z18" s="8"/>
      <c r="AA18" s="7"/>
      <c r="AB18" s="438"/>
      <c r="AC18" s="7"/>
      <c r="AD18" s="7"/>
      <c r="AE18" s="7"/>
      <c r="AF18" s="7"/>
    </row>
    <row r="19" spans="1:32">
      <c r="A19" s="7"/>
      <c r="B19" s="7"/>
      <c r="C19" s="7"/>
      <c r="D19" s="8"/>
      <c r="E19" s="7"/>
      <c r="F19" s="7"/>
      <c r="G19" s="7"/>
      <c r="H19" s="7"/>
      <c r="I19" s="7"/>
      <c r="J19" s="7"/>
      <c r="L19" s="7"/>
      <c r="M19" s="7"/>
      <c r="N19" s="7"/>
      <c r="O19" s="8"/>
      <c r="P19" s="7"/>
      <c r="Q19" s="7"/>
      <c r="R19" s="7"/>
      <c r="S19" s="7"/>
      <c r="T19" s="7"/>
      <c r="U19" s="7"/>
      <c r="W19" s="7"/>
      <c r="X19" s="7"/>
      <c r="Y19" s="7"/>
      <c r="Z19" s="8"/>
      <c r="AA19" s="7"/>
      <c r="AB19" s="7"/>
      <c r="AC19" s="7"/>
      <c r="AD19" s="7"/>
      <c r="AE19" s="7"/>
      <c r="AF19" s="7"/>
    </row>
    <row r="20" spans="1:32" ht="12.75" customHeight="1">
      <c r="A20" s="10"/>
      <c r="B20" s="649" t="s">
        <v>3</v>
      </c>
      <c r="C20" s="650"/>
      <c r="D20" s="650"/>
      <c r="E20" s="655" t="s">
        <v>4</v>
      </c>
      <c r="F20" s="649" t="s">
        <v>5</v>
      </c>
      <c r="G20" s="650"/>
      <c r="H20" s="650"/>
      <c r="I20" s="651"/>
      <c r="J20" s="348"/>
      <c r="L20" s="10"/>
      <c r="M20" s="649" t="s">
        <v>3</v>
      </c>
      <c r="N20" s="650"/>
      <c r="O20" s="651"/>
      <c r="P20" s="655" t="s">
        <v>4</v>
      </c>
      <c r="Q20" s="664" t="s">
        <v>5</v>
      </c>
      <c r="R20" s="657"/>
      <c r="S20" s="657"/>
      <c r="T20" s="658"/>
      <c r="U20" s="348"/>
      <c r="W20" s="10"/>
      <c r="X20" s="649" t="s">
        <v>3</v>
      </c>
      <c r="Y20" s="650"/>
      <c r="Z20" s="651"/>
      <c r="AA20" s="655" t="s">
        <v>4</v>
      </c>
      <c r="AB20" s="664" t="s">
        <v>5</v>
      </c>
      <c r="AC20" s="657"/>
      <c r="AD20" s="657"/>
      <c r="AE20" s="658"/>
      <c r="AF20" s="348"/>
    </row>
    <row r="21" spans="1:32" ht="12.75" customHeight="1">
      <c r="A21" s="11"/>
      <c r="B21" s="652"/>
      <c r="C21" s="653"/>
      <c r="D21" s="653"/>
      <c r="E21" s="656"/>
      <c r="F21" s="652"/>
      <c r="G21" s="653"/>
      <c r="H21" s="653"/>
      <c r="I21" s="654"/>
      <c r="J21" s="488"/>
      <c r="L21" s="11"/>
      <c r="M21" s="652"/>
      <c r="N21" s="653"/>
      <c r="O21" s="654"/>
      <c r="P21" s="656"/>
      <c r="Q21" s="646"/>
      <c r="R21" s="647"/>
      <c r="S21" s="647"/>
      <c r="T21" s="648"/>
      <c r="U21" s="488"/>
      <c r="W21" s="11"/>
      <c r="X21" s="652"/>
      <c r="Y21" s="653"/>
      <c r="Z21" s="654"/>
      <c r="AA21" s="656"/>
      <c r="AB21" s="646"/>
      <c r="AC21" s="647"/>
      <c r="AD21" s="647"/>
      <c r="AE21" s="648"/>
      <c r="AF21" s="488"/>
    </row>
    <row r="22" spans="1:32" ht="51" customHeight="1">
      <c r="A22" s="12"/>
      <c r="B22" s="286">
        <v>2014</v>
      </c>
      <c r="C22" s="353">
        <v>2015</v>
      </c>
      <c r="D22" s="353">
        <v>2016</v>
      </c>
      <c r="E22" s="354">
        <v>2017</v>
      </c>
      <c r="F22" s="353">
        <v>2018</v>
      </c>
      <c r="G22" s="354">
        <v>2019</v>
      </c>
      <c r="H22" s="353">
        <v>2020</v>
      </c>
      <c r="I22" s="355">
        <v>2021</v>
      </c>
      <c r="J22" s="356" t="s">
        <v>6</v>
      </c>
      <c r="L22" s="12"/>
      <c r="M22" s="286">
        <v>2014</v>
      </c>
      <c r="N22" s="353">
        <v>2015</v>
      </c>
      <c r="O22" s="353">
        <v>2016</v>
      </c>
      <c r="P22" s="354">
        <v>2017</v>
      </c>
      <c r="Q22" s="353">
        <v>2018</v>
      </c>
      <c r="R22" s="354">
        <v>2019</v>
      </c>
      <c r="S22" s="353">
        <v>2020</v>
      </c>
      <c r="T22" s="355">
        <v>2021</v>
      </c>
      <c r="U22" s="356" t="s">
        <v>6</v>
      </c>
      <c r="W22" s="12"/>
      <c r="X22" s="286">
        <v>2014</v>
      </c>
      <c r="Y22" s="353">
        <v>2015</v>
      </c>
      <c r="Z22" s="353">
        <v>2016</v>
      </c>
      <c r="AA22" s="354">
        <v>2017</v>
      </c>
      <c r="AB22" s="353">
        <v>2018</v>
      </c>
      <c r="AC22" s="354">
        <v>2019</v>
      </c>
      <c r="AD22" s="353">
        <v>2020</v>
      </c>
      <c r="AE22" s="355">
        <v>2021</v>
      </c>
      <c r="AF22" s="356" t="s">
        <v>6</v>
      </c>
    </row>
    <row r="23" spans="1:32">
      <c r="A23" s="446" t="s">
        <v>147</v>
      </c>
      <c r="B23" s="331">
        <v>53085</v>
      </c>
      <c r="C23" s="331">
        <v>55623</v>
      </c>
      <c r="D23" s="331">
        <v>45173</v>
      </c>
      <c r="E23" s="331">
        <v>45470</v>
      </c>
      <c r="F23" s="331">
        <v>45121.984009166597</v>
      </c>
      <c r="G23" s="331">
        <v>45121.984009166597</v>
      </c>
      <c r="H23" s="331">
        <v>45121.984009166597</v>
      </c>
      <c r="I23" s="331">
        <v>45121.984009166597</v>
      </c>
      <c r="J23" s="331">
        <f>SUM(B23:I23)</f>
        <v>379838.93603666639</v>
      </c>
      <c r="L23" s="446" t="s">
        <v>147</v>
      </c>
      <c r="M23" s="331">
        <f>B14-B23</f>
        <v>0</v>
      </c>
      <c r="N23" s="331">
        <f t="shared" ref="N23:U25" si="2">C14-C23</f>
        <v>0</v>
      </c>
      <c r="O23" s="331">
        <f t="shared" si="2"/>
        <v>0</v>
      </c>
      <c r="P23" s="331">
        <f t="shared" si="2"/>
        <v>0</v>
      </c>
      <c r="Q23" s="331">
        <f t="shared" si="2"/>
        <v>-9660.9840091665974</v>
      </c>
      <c r="R23" s="331">
        <f t="shared" si="2"/>
        <v>-5954.1387176109492</v>
      </c>
      <c r="S23" s="331">
        <f t="shared" si="2"/>
        <v>-5954.1387176109492</v>
      </c>
      <c r="T23" s="331">
        <f t="shared" si="2"/>
        <v>-5954.1387176109492</v>
      </c>
      <c r="U23" s="331">
        <f t="shared" si="2"/>
        <v>-27523.400161999511</v>
      </c>
      <c r="W23" s="446" t="s">
        <v>147</v>
      </c>
      <c r="X23" s="447">
        <f>M23/B23</f>
        <v>0</v>
      </c>
      <c r="Y23" s="447">
        <f t="shared" ref="Y23:AF25" si="3">N23/C23</f>
        <v>0</v>
      </c>
      <c r="Z23" s="447">
        <f t="shared" si="3"/>
        <v>0</v>
      </c>
      <c r="AA23" s="447">
        <f t="shared" si="3"/>
        <v>0</v>
      </c>
      <c r="AB23" s="447">
        <f t="shared" si="3"/>
        <v>-0.21410813866703987</v>
      </c>
      <c r="AC23" s="447">
        <f t="shared" si="3"/>
        <v>-0.13195649190428677</v>
      </c>
      <c r="AD23" s="447">
        <f t="shared" si="3"/>
        <v>-0.13195649190428677</v>
      </c>
      <c r="AE23" s="447">
        <f t="shared" si="3"/>
        <v>-0.13195649190428677</v>
      </c>
      <c r="AF23" s="447">
        <f t="shared" si="3"/>
        <v>-7.2460713083249154E-2</v>
      </c>
    </row>
    <row r="24" spans="1:32">
      <c r="A24" s="446" t="s">
        <v>148</v>
      </c>
      <c r="B24" s="331">
        <v>9478</v>
      </c>
      <c r="C24" s="331">
        <v>10062</v>
      </c>
      <c r="D24" s="331">
        <v>10768</v>
      </c>
      <c r="E24" s="331">
        <v>9428</v>
      </c>
      <c r="F24" s="331">
        <v>9934</v>
      </c>
      <c r="G24" s="331">
        <v>9934</v>
      </c>
      <c r="H24" s="331">
        <v>9934</v>
      </c>
      <c r="I24" s="331">
        <v>9934</v>
      </c>
      <c r="J24" s="331">
        <f>SUM(B24:I24)</f>
        <v>79472</v>
      </c>
      <c r="L24" s="446" t="s">
        <v>148</v>
      </c>
      <c r="M24" s="331">
        <f>B15-B24</f>
        <v>0</v>
      </c>
      <c r="N24" s="331">
        <f t="shared" si="2"/>
        <v>0</v>
      </c>
      <c r="O24" s="331">
        <f t="shared" si="2"/>
        <v>0</v>
      </c>
      <c r="P24" s="331">
        <f t="shared" si="2"/>
        <v>0</v>
      </c>
      <c r="Q24" s="331">
        <f t="shared" si="2"/>
        <v>-1632</v>
      </c>
      <c r="R24" s="331">
        <f t="shared" si="2"/>
        <v>0</v>
      </c>
      <c r="S24" s="331">
        <f t="shared" si="2"/>
        <v>0</v>
      </c>
      <c r="T24" s="331">
        <f t="shared" si="2"/>
        <v>0</v>
      </c>
      <c r="U24" s="331">
        <f t="shared" si="2"/>
        <v>-1632</v>
      </c>
      <c r="W24" s="446" t="s">
        <v>148</v>
      </c>
      <c r="X24" s="447">
        <f>M24/B24</f>
        <v>0</v>
      </c>
      <c r="Y24" s="447">
        <f t="shared" si="3"/>
        <v>0</v>
      </c>
      <c r="Z24" s="447">
        <f t="shared" si="3"/>
        <v>0</v>
      </c>
      <c r="AA24" s="447">
        <f t="shared" si="3"/>
        <v>0</v>
      </c>
      <c r="AB24" s="447">
        <f t="shared" si="3"/>
        <v>-0.16428427622307229</v>
      </c>
      <c r="AC24" s="447">
        <f t="shared" si="3"/>
        <v>0</v>
      </c>
      <c r="AD24" s="447">
        <f t="shared" si="3"/>
        <v>0</v>
      </c>
      <c r="AE24" s="447">
        <f t="shared" si="3"/>
        <v>0</v>
      </c>
      <c r="AF24" s="447">
        <f t="shared" si="3"/>
        <v>-2.0535534527884036E-2</v>
      </c>
    </row>
    <row r="25" spans="1:32">
      <c r="A25" s="446" t="s">
        <v>149</v>
      </c>
      <c r="B25" s="331">
        <f>SUM(B23:B24)</f>
        <v>62563</v>
      </c>
      <c r="C25" s="331">
        <f t="shared" ref="C25:I25" si="4">SUM(C23:C24)</f>
        <v>65685</v>
      </c>
      <c r="D25" s="331">
        <f t="shared" si="4"/>
        <v>55941</v>
      </c>
      <c r="E25" s="331">
        <f t="shared" si="4"/>
        <v>54898</v>
      </c>
      <c r="F25" s="331">
        <f t="shared" si="4"/>
        <v>55055.984009166597</v>
      </c>
      <c r="G25" s="331">
        <f t="shared" si="4"/>
        <v>55055.984009166597</v>
      </c>
      <c r="H25" s="331">
        <f t="shared" si="4"/>
        <v>55055.984009166597</v>
      </c>
      <c r="I25" s="331">
        <f t="shared" si="4"/>
        <v>55055.984009166597</v>
      </c>
      <c r="J25" s="331">
        <f>SUM(B25:I25)</f>
        <v>459310.93603666639</v>
      </c>
      <c r="L25" s="446" t="s">
        <v>149</v>
      </c>
      <c r="M25" s="331">
        <f>B16-B25</f>
        <v>0</v>
      </c>
      <c r="N25" s="331">
        <f t="shared" si="2"/>
        <v>0</v>
      </c>
      <c r="O25" s="331">
        <f t="shared" si="2"/>
        <v>0</v>
      </c>
      <c r="P25" s="331">
        <f t="shared" si="2"/>
        <v>0</v>
      </c>
      <c r="Q25" s="331">
        <f t="shared" si="2"/>
        <v>-11292.984009166597</v>
      </c>
      <c r="R25" s="331">
        <f t="shared" si="2"/>
        <v>-5954.1387176109492</v>
      </c>
      <c r="S25" s="331">
        <f t="shared" si="2"/>
        <v>-5954.1387176109492</v>
      </c>
      <c r="T25" s="331">
        <f t="shared" si="2"/>
        <v>-5954.1387176109492</v>
      </c>
      <c r="U25" s="331">
        <f t="shared" si="2"/>
        <v>-29155.400161999511</v>
      </c>
      <c r="W25" s="446" t="s">
        <v>149</v>
      </c>
      <c r="X25" s="447">
        <f>M25/B25</f>
        <v>0</v>
      </c>
      <c r="Y25" s="447">
        <f t="shared" si="3"/>
        <v>0</v>
      </c>
      <c r="Z25" s="447">
        <f t="shared" si="3"/>
        <v>0</v>
      </c>
      <c r="AA25" s="447">
        <f t="shared" si="3"/>
        <v>0</v>
      </c>
      <c r="AB25" s="447">
        <f t="shared" si="3"/>
        <v>-0.20511819400569359</v>
      </c>
      <c r="AC25" s="447">
        <f t="shared" si="3"/>
        <v>-0.10814698574127037</v>
      </c>
      <c r="AD25" s="447">
        <f t="shared" si="3"/>
        <v>-0.10814698574127037</v>
      </c>
      <c r="AE25" s="447">
        <f t="shared" si="3"/>
        <v>-0.10814698574127037</v>
      </c>
      <c r="AF25" s="447">
        <f t="shared" si="3"/>
        <v>-6.347639011946378E-2</v>
      </c>
    </row>
    <row r="27" spans="1:32" ht="15">
      <c r="A27" s="8" t="s">
        <v>151</v>
      </c>
      <c r="B27" s="7"/>
      <c r="C27" s="7"/>
      <c r="D27" s="8"/>
      <c r="E27" s="7"/>
      <c r="F27" s="438"/>
      <c r="G27" s="7"/>
      <c r="H27" s="7"/>
      <c r="I27" s="7"/>
      <c r="J27" s="7"/>
      <c r="L27" s="8" t="s">
        <v>107</v>
      </c>
      <c r="M27" s="7"/>
      <c r="N27" s="7"/>
      <c r="O27" s="8"/>
      <c r="P27" s="7"/>
      <c r="Q27" s="438"/>
      <c r="R27" s="7"/>
      <c r="S27" s="7"/>
      <c r="T27" s="7"/>
      <c r="U27" s="7"/>
      <c r="W27" s="8" t="s">
        <v>107</v>
      </c>
      <c r="X27" s="7"/>
      <c r="Y27" s="7"/>
      <c r="Z27" s="8"/>
      <c r="AA27" s="7"/>
      <c r="AB27" s="438"/>
      <c r="AC27" s="7"/>
      <c r="AD27" s="7"/>
      <c r="AE27" s="7"/>
      <c r="AF27" s="7"/>
    </row>
    <row r="28" spans="1:32">
      <c r="A28" s="7"/>
      <c r="B28" s="7"/>
      <c r="C28" s="7"/>
      <c r="D28" s="8"/>
      <c r="E28" s="7"/>
      <c r="F28" s="7"/>
      <c r="G28" s="7"/>
      <c r="H28" s="7"/>
      <c r="I28" s="7"/>
      <c r="J28" s="7"/>
      <c r="L28" s="7"/>
      <c r="M28" s="7"/>
      <c r="N28" s="7"/>
      <c r="O28" s="8"/>
      <c r="P28" s="7"/>
      <c r="Q28" s="7"/>
      <c r="R28" s="7"/>
      <c r="S28" s="7"/>
      <c r="T28" s="7"/>
      <c r="U28" s="7"/>
      <c r="W28" s="7"/>
      <c r="X28" s="7"/>
      <c r="Y28" s="7"/>
      <c r="Z28" s="8"/>
      <c r="AA28" s="7"/>
      <c r="AB28" s="7"/>
      <c r="AC28" s="7"/>
      <c r="AD28" s="7"/>
      <c r="AE28" s="7"/>
      <c r="AF28" s="7"/>
    </row>
    <row r="29" spans="1:32" ht="25.8">
      <c r="A29" s="12"/>
      <c r="B29" s="449" t="s">
        <v>106</v>
      </c>
      <c r="C29" s="7"/>
      <c r="D29" s="7"/>
      <c r="E29" s="7"/>
      <c r="F29" s="7"/>
      <c r="G29" s="7"/>
      <c r="H29" s="8"/>
      <c r="I29" s="7"/>
      <c r="J29" s="7"/>
      <c r="L29" s="450"/>
      <c r="M29" s="449" t="s">
        <v>106</v>
      </c>
      <c r="N29" s="7"/>
      <c r="O29" s="7"/>
      <c r="P29" s="7"/>
      <c r="Q29" s="7"/>
      <c r="R29" s="7"/>
      <c r="S29" s="8"/>
      <c r="T29" s="7"/>
      <c r="U29" s="7"/>
      <c r="W29" s="12"/>
      <c r="X29" s="449" t="s">
        <v>106</v>
      </c>
      <c r="Y29" s="7"/>
      <c r="Z29" s="7"/>
      <c r="AA29" s="7"/>
      <c r="AB29" s="7"/>
      <c r="AC29" s="7"/>
      <c r="AD29" s="8"/>
      <c r="AE29" s="7"/>
      <c r="AF29" s="7"/>
    </row>
    <row r="30" spans="1:32">
      <c r="A30" s="446" t="s">
        <v>147</v>
      </c>
      <c r="B30" s="331">
        <v>451235.33555473888</v>
      </c>
      <c r="C30" s="7"/>
      <c r="D30" s="7"/>
      <c r="E30" s="7"/>
      <c r="F30" s="7"/>
      <c r="G30" s="7"/>
      <c r="H30" s="8"/>
      <c r="I30" s="7"/>
      <c r="J30" s="7"/>
      <c r="L30" s="446" t="s">
        <v>147</v>
      </c>
      <c r="M30" s="331">
        <f>J14-B30</f>
        <v>-98919.799680071999</v>
      </c>
      <c r="N30" s="7"/>
      <c r="O30" s="7"/>
      <c r="P30" s="7"/>
      <c r="Q30" s="7"/>
      <c r="R30" s="7"/>
      <c r="S30" s="8"/>
      <c r="T30" s="7"/>
      <c r="U30" s="7"/>
      <c r="W30" s="446" t="s">
        <v>147</v>
      </c>
      <c r="X30" s="447">
        <f>M30/B30</f>
        <v>-0.21921997655272754</v>
      </c>
      <c r="Y30" s="7"/>
      <c r="Z30" s="7"/>
      <c r="AA30" s="7"/>
      <c r="AB30" s="7"/>
      <c r="AC30" s="7"/>
      <c r="AD30" s="8"/>
      <c r="AE30" s="7"/>
      <c r="AF30" s="7"/>
    </row>
    <row r="31" spans="1:32">
      <c r="A31" s="446" t="s">
        <v>148</v>
      </c>
      <c r="B31" s="331">
        <v>90169.222486428465</v>
      </c>
      <c r="L31" s="446" t="s">
        <v>148</v>
      </c>
      <c r="M31" s="331">
        <f>J15-B31</f>
        <v>-12329.222486428465</v>
      </c>
      <c r="W31" s="446" t="s">
        <v>148</v>
      </c>
      <c r="X31" s="447">
        <f>M31/B31</f>
        <v>-0.13673426637658054</v>
      </c>
    </row>
    <row r="32" spans="1:32">
      <c r="A32" s="446" t="s">
        <v>149</v>
      </c>
      <c r="B32" s="331">
        <v>541404.55804116733</v>
      </c>
      <c r="L32" s="446" t="s">
        <v>149</v>
      </c>
      <c r="M32" s="331">
        <f>J16-B32</f>
        <v>-111249.02216650045</v>
      </c>
      <c r="W32" s="446" t="s">
        <v>149</v>
      </c>
      <c r="X32" s="447">
        <f>M32/B32</f>
        <v>-0.20548224154042177</v>
      </c>
    </row>
    <row r="34" spans="1:32" ht="15">
      <c r="A34" s="8" t="s">
        <v>152</v>
      </c>
      <c r="B34" s="7"/>
      <c r="C34" s="7"/>
      <c r="D34" s="8"/>
      <c r="E34" s="7"/>
      <c r="F34" s="438"/>
      <c r="G34" s="7"/>
      <c r="H34" s="7"/>
      <c r="I34" s="7"/>
      <c r="J34" s="7"/>
    </row>
    <row r="35" spans="1:32">
      <c r="A35" s="7"/>
      <c r="B35" s="7"/>
      <c r="C35" s="7"/>
      <c r="D35" s="8"/>
      <c r="E35" s="7"/>
      <c r="F35" s="7"/>
      <c r="G35" s="7"/>
      <c r="H35" s="7"/>
      <c r="I35" s="7"/>
      <c r="J35" s="7"/>
    </row>
    <row r="36" spans="1:32" ht="12.75" customHeight="1">
      <c r="A36" s="10"/>
      <c r="B36" s="649" t="s">
        <v>3</v>
      </c>
      <c r="C36" s="650"/>
      <c r="D36" s="650"/>
      <c r="E36" s="651"/>
      <c r="F36" s="655" t="s">
        <v>4</v>
      </c>
      <c r="G36" s="657" t="s">
        <v>5</v>
      </c>
      <c r="H36" s="657"/>
      <c r="I36" s="658"/>
      <c r="J36" s="348"/>
    </row>
    <row r="37" spans="1:32">
      <c r="A37" s="11"/>
      <c r="B37" s="652"/>
      <c r="C37" s="653"/>
      <c r="D37" s="653"/>
      <c r="E37" s="654"/>
      <c r="F37" s="656"/>
      <c r="G37" s="647"/>
      <c r="H37" s="647"/>
      <c r="I37" s="648"/>
      <c r="J37" s="488"/>
    </row>
    <row r="38" spans="1:32" ht="25.8">
      <c r="A38" s="12"/>
      <c r="B38" s="286">
        <v>2014</v>
      </c>
      <c r="C38" s="353">
        <v>2015</v>
      </c>
      <c r="D38" s="353">
        <v>2016</v>
      </c>
      <c r="E38" s="354">
        <v>2017</v>
      </c>
      <c r="F38" s="353">
        <v>2018</v>
      </c>
      <c r="G38" s="354">
        <v>2019</v>
      </c>
      <c r="H38" s="353">
        <v>2020</v>
      </c>
      <c r="I38" s="355">
        <v>2021</v>
      </c>
      <c r="J38" s="356" t="s">
        <v>6</v>
      </c>
    </row>
    <row r="39" spans="1:32">
      <c r="A39" s="446" t="s">
        <v>153</v>
      </c>
      <c r="B39" s="331">
        <f t="shared" ref="B39:E40" si="5">+B48</f>
        <v>13.083749999999956</v>
      </c>
      <c r="C39" s="331">
        <f t="shared" si="5"/>
        <v>13.677531983333351</v>
      </c>
      <c r="D39" s="331">
        <f t="shared" si="5"/>
        <v>10.375801233334414</v>
      </c>
      <c r="E39" s="331">
        <f t="shared" si="5"/>
        <v>9.085347076666185</v>
      </c>
      <c r="F39" s="483">
        <v>6.851770656658692</v>
      </c>
      <c r="G39" s="330">
        <v>7.9902404394773523</v>
      </c>
      <c r="H39" s="330">
        <v>7.9902404394773523</v>
      </c>
      <c r="I39" s="330">
        <v>7.9902404394773523</v>
      </c>
      <c r="J39" s="331">
        <f>SUM(B39:I39)</f>
        <v>77.044922268424642</v>
      </c>
    </row>
    <row r="40" spans="1:32">
      <c r="A40" s="446" t="s">
        <v>154</v>
      </c>
      <c r="B40" s="331">
        <f t="shared" si="5"/>
        <v>6.121920833332859</v>
      </c>
      <c r="C40" s="331">
        <f t="shared" si="5"/>
        <v>9.4034265833317043</v>
      </c>
      <c r="D40" s="331">
        <f t="shared" si="5"/>
        <v>4.8343915833305218</v>
      </c>
      <c r="E40" s="331">
        <f t="shared" si="5"/>
        <v>4.6341011999986081</v>
      </c>
      <c r="F40" s="483">
        <v>3.6332556033319201</v>
      </c>
      <c r="G40" s="330">
        <v>4.9669999999999996</v>
      </c>
      <c r="H40" s="330">
        <v>4.9669999999999996</v>
      </c>
      <c r="I40" s="330">
        <v>4.9669999999999996</v>
      </c>
      <c r="J40" s="331">
        <f>SUM(B40:I40)</f>
        <v>43.528095803325613</v>
      </c>
    </row>
    <row r="41" spans="1:32">
      <c r="A41" s="446" t="s">
        <v>149</v>
      </c>
      <c r="B41" s="331">
        <f t="shared" ref="B41:I41" si="6">SUM(B39:B40)</f>
        <v>19.205670833332814</v>
      </c>
      <c r="C41" s="331">
        <f t="shared" si="6"/>
        <v>23.080958566665053</v>
      </c>
      <c r="D41" s="331">
        <f t="shared" si="6"/>
        <v>15.210192816664936</v>
      </c>
      <c r="E41" s="331">
        <f t="shared" si="6"/>
        <v>13.719448276664792</v>
      </c>
      <c r="F41" s="331">
        <f t="shared" si="6"/>
        <v>10.485026259990612</v>
      </c>
      <c r="G41" s="331">
        <f t="shared" si="6"/>
        <v>12.957240439477353</v>
      </c>
      <c r="H41" s="331">
        <f t="shared" si="6"/>
        <v>12.957240439477353</v>
      </c>
      <c r="I41" s="331">
        <f t="shared" si="6"/>
        <v>12.957240439477353</v>
      </c>
      <c r="J41" s="331">
        <f>SUM(B41:I41)</f>
        <v>120.57301807175023</v>
      </c>
    </row>
    <row r="43" spans="1:32" ht="15">
      <c r="A43" s="8" t="s">
        <v>155</v>
      </c>
      <c r="B43" s="7"/>
      <c r="C43" s="7"/>
      <c r="D43" s="8"/>
      <c r="E43" s="7"/>
      <c r="F43" s="438"/>
      <c r="G43" s="7"/>
      <c r="H43" s="7"/>
      <c r="I43" s="7"/>
      <c r="J43" s="7"/>
      <c r="L43" s="8" t="s">
        <v>49</v>
      </c>
      <c r="M43" s="7"/>
      <c r="N43" s="7"/>
      <c r="O43" s="8"/>
      <c r="P43" s="7"/>
      <c r="Q43" s="438"/>
      <c r="R43" s="7"/>
      <c r="S43" s="7"/>
      <c r="T43" s="7"/>
      <c r="U43" s="7"/>
      <c r="W43" s="8" t="s">
        <v>50</v>
      </c>
      <c r="X43" s="7"/>
      <c r="Y43" s="7"/>
      <c r="Z43" s="8"/>
      <c r="AA43" s="7"/>
      <c r="AB43" s="438"/>
      <c r="AC43" s="7"/>
      <c r="AD43" s="7"/>
      <c r="AE43" s="7"/>
      <c r="AF43" s="7"/>
    </row>
    <row r="44" spans="1:32">
      <c r="A44" s="7"/>
      <c r="B44" s="7"/>
      <c r="C44" s="7"/>
      <c r="D44" s="8"/>
      <c r="E44" s="7"/>
      <c r="F44" s="7"/>
      <c r="G44" s="7"/>
      <c r="H44" s="7"/>
      <c r="I44" s="7"/>
      <c r="J44" s="7"/>
      <c r="L44" s="7"/>
      <c r="M44" s="7"/>
      <c r="N44" s="7"/>
      <c r="O44" s="8"/>
      <c r="P44" s="7"/>
      <c r="Q44" s="7"/>
      <c r="R44" s="7"/>
      <c r="S44" s="7"/>
      <c r="T44" s="7"/>
      <c r="U44" s="7"/>
      <c r="W44" s="7"/>
      <c r="X44" s="7"/>
      <c r="Y44" s="7"/>
      <c r="Z44" s="8"/>
      <c r="AA44" s="7"/>
      <c r="AB44" s="7"/>
      <c r="AC44" s="7"/>
      <c r="AD44" s="7"/>
      <c r="AE44" s="7"/>
      <c r="AF44" s="7"/>
    </row>
    <row r="45" spans="1:32" ht="12.75" customHeight="1">
      <c r="A45" s="10"/>
      <c r="B45" s="649" t="s">
        <v>3</v>
      </c>
      <c r="C45" s="650"/>
      <c r="D45" s="650"/>
      <c r="E45" s="655" t="s">
        <v>4</v>
      </c>
      <c r="F45" s="664" t="s">
        <v>5</v>
      </c>
      <c r="G45" s="657"/>
      <c r="H45" s="657"/>
      <c r="I45" s="658"/>
      <c r="J45" s="348"/>
      <c r="L45" s="10"/>
      <c r="M45" s="649" t="s">
        <v>3</v>
      </c>
      <c r="N45" s="650"/>
      <c r="O45" s="651"/>
      <c r="P45" s="655" t="s">
        <v>4</v>
      </c>
      <c r="Q45" s="664" t="s">
        <v>5</v>
      </c>
      <c r="R45" s="657"/>
      <c r="S45" s="657"/>
      <c r="T45" s="658"/>
      <c r="U45" s="348"/>
      <c r="W45" s="10"/>
      <c r="X45" s="649" t="s">
        <v>3</v>
      </c>
      <c r="Y45" s="650"/>
      <c r="Z45" s="651"/>
      <c r="AA45" s="655" t="s">
        <v>4</v>
      </c>
      <c r="AB45" s="664" t="s">
        <v>5</v>
      </c>
      <c r="AC45" s="657"/>
      <c r="AD45" s="657"/>
      <c r="AE45" s="658"/>
      <c r="AF45" s="348"/>
    </row>
    <row r="46" spans="1:32">
      <c r="A46" s="11"/>
      <c r="B46" s="652"/>
      <c r="C46" s="653"/>
      <c r="D46" s="653"/>
      <c r="E46" s="656"/>
      <c r="F46" s="646"/>
      <c r="G46" s="647"/>
      <c r="H46" s="647"/>
      <c r="I46" s="648"/>
      <c r="J46" s="488"/>
      <c r="L46" s="11"/>
      <c r="M46" s="652"/>
      <c r="N46" s="653"/>
      <c r="O46" s="654"/>
      <c r="P46" s="656"/>
      <c r="Q46" s="646"/>
      <c r="R46" s="647"/>
      <c r="S46" s="647"/>
      <c r="T46" s="648"/>
      <c r="U46" s="488"/>
      <c r="W46" s="11"/>
      <c r="X46" s="652"/>
      <c r="Y46" s="653"/>
      <c r="Z46" s="654"/>
      <c r="AA46" s="656"/>
      <c r="AB46" s="646"/>
      <c r="AC46" s="647"/>
      <c r="AD46" s="647"/>
      <c r="AE46" s="648"/>
      <c r="AF46" s="488"/>
    </row>
    <row r="47" spans="1:32" ht="51" customHeight="1">
      <c r="A47" s="12"/>
      <c r="B47" s="286">
        <v>2014</v>
      </c>
      <c r="C47" s="353">
        <v>2015</v>
      </c>
      <c r="D47" s="353">
        <v>2016</v>
      </c>
      <c r="E47" s="354">
        <v>2017</v>
      </c>
      <c r="F47" s="353">
        <v>2018</v>
      </c>
      <c r="G47" s="354">
        <v>2019</v>
      </c>
      <c r="H47" s="353">
        <v>2020</v>
      </c>
      <c r="I47" s="355">
        <v>2021</v>
      </c>
      <c r="J47" s="356" t="s">
        <v>6</v>
      </c>
      <c r="L47" s="12"/>
      <c r="M47" s="286">
        <v>2014</v>
      </c>
      <c r="N47" s="353">
        <v>2015</v>
      </c>
      <c r="O47" s="353">
        <v>2016</v>
      </c>
      <c r="P47" s="354">
        <v>2017</v>
      </c>
      <c r="Q47" s="353">
        <v>2018</v>
      </c>
      <c r="R47" s="354">
        <v>2019</v>
      </c>
      <c r="S47" s="353">
        <v>2020</v>
      </c>
      <c r="T47" s="355">
        <v>2021</v>
      </c>
      <c r="U47" s="356" t="s">
        <v>6</v>
      </c>
      <c r="W47" s="12"/>
      <c r="X47" s="286">
        <v>2014</v>
      </c>
      <c r="Y47" s="353">
        <v>2015</v>
      </c>
      <c r="Z47" s="353">
        <v>2016</v>
      </c>
      <c r="AA47" s="354">
        <v>2017</v>
      </c>
      <c r="AB47" s="353">
        <v>2018</v>
      </c>
      <c r="AC47" s="354">
        <v>2019</v>
      </c>
      <c r="AD47" s="353">
        <v>2020</v>
      </c>
      <c r="AE47" s="355">
        <v>2021</v>
      </c>
      <c r="AF47" s="356" t="s">
        <v>6</v>
      </c>
    </row>
    <row r="48" spans="1:32">
      <c r="A48" s="446" t="s">
        <v>153</v>
      </c>
      <c r="B48" s="331">
        <v>13.083749999999956</v>
      </c>
      <c r="C48" s="331">
        <v>13.677531983333351</v>
      </c>
      <c r="D48" s="331">
        <v>10.375801233334414</v>
      </c>
      <c r="E48" s="331">
        <v>9.085347076666185</v>
      </c>
      <c r="F48" s="331">
        <v>9.2048847378699854</v>
      </c>
      <c r="G48" s="331">
        <v>9.2048847378699854</v>
      </c>
      <c r="H48" s="331">
        <v>9.2048847378699854</v>
      </c>
      <c r="I48" s="331">
        <v>9.2048847378699854</v>
      </c>
      <c r="J48" s="331">
        <v>83.041969244813856</v>
      </c>
      <c r="L48" s="446" t="s">
        <v>147</v>
      </c>
      <c r="M48" s="331">
        <f t="shared" ref="M48:U50" si="7">B39-B48</f>
        <v>0</v>
      </c>
      <c r="N48" s="331">
        <f t="shared" si="7"/>
        <v>0</v>
      </c>
      <c r="O48" s="331">
        <f t="shared" si="7"/>
        <v>0</v>
      </c>
      <c r="P48" s="331">
        <f t="shared" si="7"/>
        <v>0</v>
      </c>
      <c r="Q48" s="331">
        <f t="shared" si="7"/>
        <v>-2.3531140812112934</v>
      </c>
      <c r="R48" s="331">
        <f t="shared" si="7"/>
        <v>-1.2146442983926331</v>
      </c>
      <c r="S48" s="331">
        <f t="shared" si="7"/>
        <v>-1.2146442983926331</v>
      </c>
      <c r="T48" s="331">
        <f t="shared" si="7"/>
        <v>-1.2146442983926331</v>
      </c>
      <c r="U48" s="331">
        <f t="shared" si="7"/>
        <v>-5.997046976389214</v>
      </c>
      <c r="W48" s="446" t="s">
        <v>147</v>
      </c>
      <c r="X48" s="447">
        <f t="shared" ref="X48:AF50" si="8">M48/B48</f>
        <v>0</v>
      </c>
      <c r="Y48" s="447">
        <f t="shared" si="8"/>
        <v>0</v>
      </c>
      <c r="Z48" s="447">
        <f t="shared" si="8"/>
        <v>0</v>
      </c>
      <c r="AA48" s="447">
        <f t="shared" si="8"/>
        <v>0</v>
      </c>
      <c r="AB48" s="447">
        <f t="shared" si="8"/>
        <v>-0.25563753900473118</v>
      </c>
      <c r="AC48" s="447">
        <f t="shared" si="8"/>
        <v>-0.13195649190428671</v>
      </c>
      <c r="AD48" s="447">
        <f t="shared" si="8"/>
        <v>-0.13195649190428671</v>
      </c>
      <c r="AE48" s="447">
        <f t="shared" si="8"/>
        <v>-0.13195649190428671</v>
      </c>
      <c r="AF48" s="447">
        <f t="shared" si="8"/>
        <v>-7.2217061215269079E-2</v>
      </c>
    </row>
    <row r="49" spans="1:32">
      <c r="A49" s="446" t="s">
        <v>154</v>
      </c>
      <c r="B49" s="331">
        <v>6.121920833332859</v>
      </c>
      <c r="C49" s="331">
        <v>9.4034265833317043</v>
      </c>
      <c r="D49" s="331">
        <v>4.8343915833305218</v>
      </c>
      <c r="E49" s="331">
        <v>4.6341011999986081</v>
      </c>
      <c r="F49" s="331">
        <v>4.9669999999999996</v>
      </c>
      <c r="G49" s="331">
        <v>4.9669999999999996</v>
      </c>
      <c r="H49" s="331">
        <v>4.9669999999999996</v>
      </c>
      <c r="I49" s="331">
        <v>4.9669999999999996</v>
      </c>
      <c r="J49" s="331">
        <v>44.861840199993686</v>
      </c>
      <c r="L49" s="446" t="s">
        <v>148</v>
      </c>
      <c r="M49" s="331">
        <f t="shared" si="7"/>
        <v>0</v>
      </c>
      <c r="N49" s="331">
        <f t="shared" si="7"/>
        <v>0</v>
      </c>
      <c r="O49" s="331">
        <f t="shared" si="7"/>
        <v>0</v>
      </c>
      <c r="P49" s="331">
        <f t="shared" si="7"/>
        <v>0</v>
      </c>
      <c r="Q49" s="331">
        <f t="shared" si="7"/>
        <v>-1.3337443966680795</v>
      </c>
      <c r="R49" s="331">
        <f t="shared" si="7"/>
        <v>0</v>
      </c>
      <c r="S49" s="331">
        <f t="shared" si="7"/>
        <v>0</v>
      </c>
      <c r="T49" s="331">
        <f t="shared" si="7"/>
        <v>0</v>
      </c>
      <c r="U49" s="331">
        <f t="shared" si="7"/>
        <v>-1.3337443966680738</v>
      </c>
      <c r="W49" s="446" t="s">
        <v>148</v>
      </c>
      <c r="X49" s="447">
        <f t="shared" si="8"/>
        <v>0</v>
      </c>
      <c r="Y49" s="447">
        <f t="shared" si="8"/>
        <v>0</v>
      </c>
      <c r="Z49" s="447">
        <f t="shared" si="8"/>
        <v>0</v>
      </c>
      <c r="AA49" s="447">
        <f t="shared" si="8"/>
        <v>0</v>
      </c>
      <c r="AB49" s="447">
        <f t="shared" si="8"/>
        <v>-0.26852111871714912</v>
      </c>
      <c r="AC49" s="447">
        <f t="shared" si="8"/>
        <v>0</v>
      </c>
      <c r="AD49" s="447">
        <f t="shared" si="8"/>
        <v>0</v>
      </c>
      <c r="AE49" s="447">
        <f t="shared" si="8"/>
        <v>0</v>
      </c>
      <c r="AF49" s="447">
        <f t="shared" si="8"/>
        <v>-2.9730042074115844E-2</v>
      </c>
    </row>
    <row r="50" spans="1:32">
      <c r="A50" s="446" t="s">
        <v>149</v>
      </c>
      <c r="B50" s="331">
        <v>19.205670833332814</v>
      </c>
      <c r="C50" s="331">
        <v>23.080958566665053</v>
      </c>
      <c r="D50" s="331">
        <v>15.210192816664936</v>
      </c>
      <c r="E50" s="331">
        <v>13.719448276664792</v>
      </c>
      <c r="F50" s="331">
        <v>14.171884737869984</v>
      </c>
      <c r="G50" s="331">
        <v>14.171884737869984</v>
      </c>
      <c r="H50" s="331">
        <v>14.171884737869984</v>
      </c>
      <c r="I50" s="331">
        <v>14.171884737869984</v>
      </c>
      <c r="J50" s="331">
        <v>127.90380944480754</v>
      </c>
      <c r="L50" s="446" t="s">
        <v>149</v>
      </c>
      <c r="M50" s="331">
        <f t="shared" si="7"/>
        <v>0</v>
      </c>
      <c r="N50" s="331">
        <f t="shared" si="7"/>
        <v>0</v>
      </c>
      <c r="O50" s="331">
        <f t="shared" si="7"/>
        <v>0</v>
      </c>
      <c r="P50" s="331">
        <f t="shared" si="7"/>
        <v>0</v>
      </c>
      <c r="Q50" s="331">
        <f t="shared" si="7"/>
        <v>-3.6868584778793725</v>
      </c>
      <c r="R50" s="331">
        <f t="shared" si="7"/>
        <v>-1.2146442983926313</v>
      </c>
      <c r="S50" s="331">
        <f t="shared" si="7"/>
        <v>-1.2146442983926313</v>
      </c>
      <c r="T50" s="331">
        <f t="shared" si="7"/>
        <v>-1.2146442983926313</v>
      </c>
      <c r="U50" s="331">
        <f t="shared" si="7"/>
        <v>-7.3307913730573091</v>
      </c>
      <c r="W50" s="446" t="s">
        <v>149</v>
      </c>
      <c r="X50" s="447">
        <f t="shared" si="8"/>
        <v>0</v>
      </c>
      <c r="Y50" s="447">
        <f t="shared" si="8"/>
        <v>0</v>
      </c>
      <c r="Z50" s="447">
        <f t="shared" si="8"/>
        <v>0</v>
      </c>
      <c r="AA50" s="447">
        <f t="shared" si="8"/>
        <v>0</v>
      </c>
      <c r="AB50" s="447">
        <f t="shared" si="8"/>
        <v>-0.26015301041980549</v>
      </c>
      <c r="AC50" s="447">
        <f t="shared" si="8"/>
        <v>-8.5708028315166135E-2</v>
      </c>
      <c r="AD50" s="447">
        <f t="shared" si="8"/>
        <v>-8.5708028315166135E-2</v>
      </c>
      <c r="AE50" s="447">
        <f t="shared" si="8"/>
        <v>-8.5708028315166135E-2</v>
      </c>
      <c r="AF50" s="447">
        <f t="shared" si="8"/>
        <v>-5.7314879086698807E-2</v>
      </c>
    </row>
    <row r="52" spans="1:32" ht="15">
      <c r="A52" s="8" t="s">
        <v>156</v>
      </c>
      <c r="B52" s="7"/>
      <c r="C52" s="7"/>
      <c r="D52" s="8"/>
      <c r="E52" s="7"/>
      <c r="F52" s="438"/>
      <c r="G52" s="7"/>
      <c r="H52" s="7"/>
      <c r="I52" s="7"/>
      <c r="J52" s="7"/>
      <c r="L52" s="8" t="s">
        <v>107</v>
      </c>
      <c r="M52" s="7"/>
      <c r="N52" s="7"/>
      <c r="O52" s="8"/>
      <c r="P52" s="7"/>
      <c r="Q52" s="438"/>
      <c r="R52" s="7"/>
      <c r="S52" s="7"/>
      <c r="T52" s="7"/>
      <c r="U52" s="7"/>
      <c r="W52" s="8" t="s">
        <v>107</v>
      </c>
      <c r="X52" s="7"/>
      <c r="Y52" s="7"/>
      <c r="Z52" s="8"/>
      <c r="AA52" s="7"/>
      <c r="AB52" s="438"/>
      <c r="AC52" s="7"/>
      <c r="AD52" s="7"/>
      <c r="AE52" s="7"/>
      <c r="AF52" s="7"/>
    </row>
    <row r="53" spans="1:32">
      <c r="A53" s="7"/>
      <c r="B53" s="7"/>
      <c r="C53" s="7"/>
      <c r="D53" s="8"/>
      <c r="E53" s="7"/>
      <c r="F53" s="7"/>
      <c r="G53" s="7"/>
      <c r="H53" s="7"/>
      <c r="I53" s="7"/>
      <c r="J53" s="7"/>
      <c r="L53" s="7"/>
      <c r="M53" s="7"/>
      <c r="N53" s="7"/>
      <c r="O53" s="8"/>
      <c r="P53" s="7"/>
      <c r="Q53" s="7"/>
      <c r="R53" s="7"/>
      <c r="S53" s="7"/>
      <c r="T53" s="7"/>
      <c r="U53" s="7"/>
      <c r="W53" s="7"/>
      <c r="X53" s="7"/>
      <c r="Y53" s="7"/>
      <c r="Z53" s="8"/>
      <c r="AA53" s="7"/>
      <c r="AB53" s="7"/>
      <c r="AC53" s="7"/>
      <c r="AD53" s="7"/>
      <c r="AE53" s="7"/>
      <c r="AF53" s="7"/>
    </row>
    <row r="54" spans="1:32" ht="25.8">
      <c r="A54" s="12"/>
      <c r="B54" s="449" t="s">
        <v>106</v>
      </c>
      <c r="C54" s="7"/>
      <c r="D54" s="7"/>
      <c r="E54" s="7"/>
      <c r="F54" s="7"/>
      <c r="G54" s="7"/>
      <c r="H54" s="8"/>
      <c r="I54" s="7"/>
      <c r="J54" s="7"/>
      <c r="L54" s="450"/>
      <c r="M54" s="449" t="s">
        <v>106</v>
      </c>
      <c r="N54" s="7"/>
      <c r="O54" s="7"/>
      <c r="P54" s="7"/>
      <c r="Q54" s="7"/>
      <c r="R54" s="7"/>
      <c r="S54" s="8"/>
      <c r="T54" s="7"/>
      <c r="U54" s="7"/>
      <c r="W54" s="450"/>
      <c r="X54" s="449" t="s">
        <v>106</v>
      </c>
      <c r="Y54" s="7"/>
      <c r="Z54" s="7"/>
      <c r="AA54" s="7"/>
      <c r="AB54" s="7"/>
      <c r="AC54" s="7"/>
      <c r="AD54" s="8"/>
      <c r="AE54" s="7"/>
      <c r="AF54" s="7"/>
    </row>
    <row r="55" spans="1:32">
      <c r="A55" s="446" t="s">
        <v>153</v>
      </c>
      <c r="B55" s="331">
        <v>92.052008453166735</v>
      </c>
      <c r="C55" s="7"/>
      <c r="D55" s="7"/>
      <c r="E55" s="7"/>
      <c r="F55" s="7"/>
      <c r="G55" s="7"/>
      <c r="H55" s="8"/>
      <c r="I55" s="7"/>
      <c r="J55" s="7"/>
      <c r="L55" s="446" t="s">
        <v>147</v>
      </c>
      <c r="M55" s="331">
        <f>J39-B55</f>
        <v>-15.007086184742093</v>
      </c>
      <c r="N55" s="7"/>
      <c r="O55" s="7"/>
      <c r="P55" s="7"/>
      <c r="Q55" s="7"/>
      <c r="R55" s="7"/>
      <c r="S55" s="8"/>
      <c r="T55" s="7"/>
      <c r="U55" s="7"/>
      <c r="W55" s="446" t="s">
        <v>147</v>
      </c>
      <c r="X55" s="447">
        <f>M55/B55</f>
        <v>-0.16302834057528731</v>
      </c>
      <c r="Y55" s="7"/>
      <c r="Z55" s="7"/>
      <c r="AA55" s="7"/>
      <c r="AB55" s="7"/>
      <c r="AC55" s="7"/>
      <c r="AD55" s="8"/>
      <c r="AE55" s="7"/>
      <c r="AF55" s="7"/>
    </row>
    <row r="56" spans="1:32">
      <c r="A56" s="446" t="s">
        <v>154</v>
      </c>
      <c r="B56" s="331">
        <v>45.084611243214233</v>
      </c>
      <c r="L56" s="446" t="s">
        <v>148</v>
      </c>
      <c r="M56" s="331">
        <f>J40-B56</f>
        <v>-1.5565154398886207</v>
      </c>
      <c r="W56" s="446" t="s">
        <v>148</v>
      </c>
      <c r="X56" s="447">
        <f>M56/B56</f>
        <v>-3.4524317654461192E-2</v>
      </c>
    </row>
    <row r="57" spans="1:32">
      <c r="A57" s="446" t="s">
        <v>149</v>
      </c>
      <c r="B57" s="331">
        <v>137.13661969638096</v>
      </c>
      <c r="L57" s="446" t="s">
        <v>149</v>
      </c>
      <c r="M57" s="331">
        <f>J41-B57</f>
        <v>-16.563601624630735</v>
      </c>
      <c r="W57" s="446" t="s">
        <v>149</v>
      </c>
      <c r="X57" s="447">
        <f>M57/B57</f>
        <v>-0.1207817551672367</v>
      </c>
    </row>
    <row r="61" spans="1:32" ht="16.2">
      <c r="A61" s="437" t="s">
        <v>157</v>
      </c>
      <c r="B61" s="7"/>
      <c r="C61" s="7"/>
      <c r="D61" s="8"/>
      <c r="E61" s="7"/>
      <c r="F61" s="7"/>
      <c r="G61" s="7"/>
      <c r="H61" s="7"/>
      <c r="I61" s="7"/>
      <c r="J61" s="7"/>
    </row>
    <row r="62" spans="1:32">
      <c r="A62" s="7"/>
      <c r="B62" s="7"/>
      <c r="C62" s="7"/>
      <c r="D62" s="8"/>
      <c r="E62" s="7"/>
      <c r="F62" s="7"/>
      <c r="G62" s="7"/>
      <c r="H62" s="7"/>
      <c r="I62" s="7"/>
      <c r="J62" s="7"/>
    </row>
    <row r="63" spans="1:32" ht="15">
      <c r="A63" s="8" t="s">
        <v>158</v>
      </c>
      <c r="B63" s="7"/>
      <c r="C63" s="7"/>
      <c r="D63" s="8"/>
      <c r="E63" s="7"/>
      <c r="F63" s="438"/>
      <c r="G63" s="7"/>
      <c r="H63" s="7"/>
      <c r="I63" s="7"/>
      <c r="J63" s="7"/>
    </row>
    <row r="64" spans="1:32">
      <c r="A64" s="7"/>
      <c r="B64" s="7"/>
      <c r="C64" s="7"/>
      <c r="D64" s="8"/>
      <c r="E64" s="7"/>
      <c r="F64" s="7"/>
      <c r="G64" s="7"/>
      <c r="H64" s="7"/>
      <c r="I64" s="7"/>
      <c r="J64" s="7"/>
    </row>
    <row r="65" spans="1:32" ht="12.75" customHeight="1">
      <c r="A65" s="10"/>
      <c r="B65" s="649" t="s">
        <v>3</v>
      </c>
      <c r="C65" s="650"/>
      <c r="D65" s="650"/>
      <c r="E65" s="651"/>
      <c r="F65" s="655" t="s">
        <v>4</v>
      </c>
      <c r="G65" s="664" t="s">
        <v>5</v>
      </c>
      <c r="H65" s="657"/>
      <c r="I65" s="658"/>
      <c r="J65" s="348"/>
    </row>
    <row r="66" spans="1:32">
      <c r="A66" s="11"/>
      <c r="B66" s="652"/>
      <c r="C66" s="653"/>
      <c r="D66" s="653"/>
      <c r="E66" s="654"/>
      <c r="F66" s="656"/>
      <c r="G66" s="646"/>
      <c r="H66" s="647"/>
      <c r="I66" s="648"/>
      <c r="J66" s="488"/>
    </row>
    <row r="67" spans="1:32" ht="25.8">
      <c r="A67" s="12"/>
      <c r="B67" s="286">
        <v>2014</v>
      </c>
      <c r="C67" s="353">
        <v>2015</v>
      </c>
      <c r="D67" s="353">
        <v>2016</v>
      </c>
      <c r="E67" s="354">
        <v>2017</v>
      </c>
      <c r="F67" s="353">
        <v>2018</v>
      </c>
      <c r="G67" s="354">
        <v>2019</v>
      </c>
      <c r="H67" s="353">
        <v>2020</v>
      </c>
      <c r="I67" s="355">
        <v>2021</v>
      </c>
      <c r="J67" s="356" t="s">
        <v>6</v>
      </c>
    </row>
    <row r="68" spans="1:32">
      <c r="A68" s="446" t="s">
        <v>159</v>
      </c>
      <c r="B68" s="331">
        <f>+B75</f>
        <v>15.8</v>
      </c>
      <c r="C68" s="331">
        <f>+C75</f>
        <v>5.23</v>
      </c>
      <c r="D68" s="331">
        <f>+D75</f>
        <v>4.54</v>
      </c>
      <c r="E68" s="331">
        <f>+E75</f>
        <v>3.89</v>
      </c>
      <c r="F68" s="2">
        <v>4.18</v>
      </c>
      <c r="G68" s="2">
        <v>12</v>
      </c>
      <c r="H68" s="2">
        <v>12</v>
      </c>
      <c r="I68" s="2">
        <v>12</v>
      </c>
      <c r="J68" s="331">
        <f>SUM(B68:I68)</f>
        <v>69.64</v>
      </c>
    </row>
    <row r="70" spans="1:32" ht="15">
      <c r="A70" s="8" t="s">
        <v>160</v>
      </c>
      <c r="B70" s="7"/>
      <c r="C70" s="7"/>
      <c r="D70" s="8"/>
      <c r="E70" s="7"/>
      <c r="F70" s="438"/>
      <c r="G70" s="7"/>
      <c r="H70" s="7"/>
      <c r="I70" s="7"/>
      <c r="J70" s="7"/>
      <c r="L70" s="8" t="s">
        <v>49</v>
      </c>
      <c r="M70" s="7"/>
      <c r="N70" s="7"/>
      <c r="O70" s="8"/>
      <c r="P70" s="7"/>
      <c r="Q70" s="438"/>
      <c r="R70" s="7"/>
      <c r="S70" s="7"/>
      <c r="T70" s="7"/>
      <c r="U70" s="7"/>
      <c r="W70" s="8" t="s">
        <v>50</v>
      </c>
      <c r="X70" s="7"/>
      <c r="Y70" s="7"/>
      <c r="Z70" s="8"/>
      <c r="AA70" s="7"/>
      <c r="AB70" s="438"/>
      <c r="AC70" s="7"/>
      <c r="AD70" s="7"/>
      <c r="AE70" s="7"/>
      <c r="AF70" s="7"/>
    </row>
    <row r="71" spans="1:32">
      <c r="A71" s="7"/>
      <c r="B71" s="7"/>
      <c r="C71" s="7"/>
      <c r="D71" s="8"/>
      <c r="E71" s="7"/>
      <c r="F71" s="7"/>
      <c r="G71" s="7"/>
      <c r="H71" s="7"/>
      <c r="I71" s="7"/>
      <c r="J71" s="7"/>
      <c r="L71" s="7"/>
      <c r="M71" s="7"/>
      <c r="N71" s="7"/>
      <c r="O71" s="8"/>
      <c r="P71" s="7"/>
      <c r="Q71" s="7"/>
      <c r="R71" s="7"/>
      <c r="S71" s="7"/>
      <c r="T71" s="7"/>
      <c r="U71" s="7"/>
      <c r="W71" s="7"/>
      <c r="X71" s="7"/>
      <c r="Y71" s="7"/>
      <c r="Z71" s="8"/>
      <c r="AA71" s="7"/>
      <c r="AB71" s="7"/>
      <c r="AC71" s="7"/>
      <c r="AD71" s="7"/>
      <c r="AE71" s="7"/>
      <c r="AF71" s="7"/>
    </row>
    <row r="72" spans="1:32" ht="12.75" customHeight="1">
      <c r="A72" s="10"/>
      <c r="B72" s="662" t="s">
        <v>3</v>
      </c>
      <c r="C72" s="662"/>
      <c r="D72" s="662"/>
      <c r="E72" s="662"/>
      <c r="F72" s="663" t="s">
        <v>104</v>
      </c>
      <c r="G72" s="663"/>
      <c r="H72" s="663"/>
      <c r="I72" s="663"/>
      <c r="J72" s="348"/>
      <c r="L72" s="10"/>
      <c r="M72" s="649" t="s">
        <v>3</v>
      </c>
      <c r="N72" s="650"/>
      <c r="O72" s="651"/>
      <c r="P72" s="655" t="s">
        <v>4</v>
      </c>
      <c r="Q72" s="664" t="s">
        <v>5</v>
      </c>
      <c r="R72" s="657"/>
      <c r="S72" s="657"/>
      <c r="T72" s="658"/>
      <c r="U72" s="348"/>
      <c r="W72" s="10"/>
      <c r="X72" s="662" t="s">
        <v>3</v>
      </c>
      <c r="Y72" s="650" t="s">
        <v>5</v>
      </c>
      <c r="Z72" s="650"/>
      <c r="AA72" s="650"/>
      <c r="AB72" s="650"/>
      <c r="AC72" s="650"/>
      <c r="AD72" s="650"/>
      <c r="AE72" s="651"/>
      <c r="AF72" s="348"/>
    </row>
    <row r="73" spans="1:32">
      <c r="A73" s="11"/>
      <c r="B73" s="662"/>
      <c r="C73" s="662"/>
      <c r="D73" s="662"/>
      <c r="E73" s="662"/>
      <c r="F73" s="663"/>
      <c r="G73" s="663"/>
      <c r="H73" s="663"/>
      <c r="I73" s="663"/>
      <c r="J73" s="488"/>
      <c r="L73" s="11"/>
      <c r="M73" s="652"/>
      <c r="N73" s="653"/>
      <c r="O73" s="654"/>
      <c r="P73" s="656"/>
      <c r="Q73" s="646"/>
      <c r="R73" s="647"/>
      <c r="S73" s="647"/>
      <c r="T73" s="648"/>
      <c r="U73" s="488"/>
      <c r="W73" s="11"/>
      <c r="X73" s="662"/>
      <c r="Y73" s="653"/>
      <c r="Z73" s="653"/>
      <c r="AA73" s="653"/>
      <c r="AB73" s="653"/>
      <c r="AC73" s="653"/>
      <c r="AD73" s="653"/>
      <c r="AE73" s="654"/>
      <c r="AF73" s="488"/>
    </row>
    <row r="74" spans="1:32" ht="51" customHeight="1">
      <c r="A74" s="12"/>
      <c r="B74" s="286">
        <v>2014</v>
      </c>
      <c r="C74" s="353">
        <v>2015</v>
      </c>
      <c r="D74" s="353">
        <v>2016</v>
      </c>
      <c r="E74" s="354">
        <v>2017</v>
      </c>
      <c r="F74" s="353">
        <v>2018</v>
      </c>
      <c r="G74" s="354">
        <v>2019</v>
      </c>
      <c r="H74" s="353">
        <v>2020</v>
      </c>
      <c r="I74" s="355">
        <v>2021</v>
      </c>
      <c r="J74" s="356" t="s">
        <v>6</v>
      </c>
      <c r="L74" s="12"/>
      <c r="M74" s="286">
        <v>2014</v>
      </c>
      <c r="N74" s="353">
        <v>2015</v>
      </c>
      <c r="O74" s="353">
        <v>2016</v>
      </c>
      <c r="P74" s="354">
        <v>2017</v>
      </c>
      <c r="Q74" s="353">
        <v>2018</v>
      </c>
      <c r="R74" s="354">
        <v>2019</v>
      </c>
      <c r="S74" s="353">
        <v>2020</v>
      </c>
      <c r="T74" s="355">
        <v>2021</v>
      </c>
      <c r="U74" s="356" t="s">
        <v>6</v>
      </c>
      <c r="W74" s="12"/>
      <c r="X74" s="286">
        <v>2014</v>
      </c>
      <c r="Y74" s="353">
        <v>2015</v>
      </c>
      <c r="Z74" s="353">
        <v>2016</v>
      </c>
      <c r="AA74" s="354">
        <v>2017</v>
      </c>
      <c r="AB74" s="353">
        <v>2018</v>
      </c>
      <c r="AC74" s="354">
        <v>2019</v>
      </c>
      <c r="AD74" s="353">
        <v>2020</v>
      </c>
      <c r="AE74" s="355">
        <v>2021</v>
      </c>
      <c r="AF74" s="356" t="s">
        <v>6</v>
      </c>
    </row>
    <row r="75" spans="1:32">
      <c r="A75" s="446" t="s">
        <v>159</v>
      </c>
      <c r="B75" s="331">
        <v>15.8</v>
      </c>
      <c r="C75" s="331">
        <v>5.23</v>
      </c>
      <c r="D75" s="331">
        <v>4.54</v>
      </c>
      <c r="E75" s="331">
        <v>3.89</v>
      </c>
      <c r="F75" s="331">
        <v>78</v>
      </c>
      <c r="G75" s="331">
        <v>78</v>
      </c>
      <c r="H75" s="331">
        <v>78</v>
      </c>
      <c r="I75" s="331">
        <v>78</v>
      </c>
      <c r="J75" s="331">
        <f>SUM(B75:I75)</f>
        <v>341.46000000000004</v>
      </c>
      <c r="L75" s="446" t="s">
        <v>159</v>
      </c>
      <c r="M75" s="331">
        <f>B68-B75</f>
        <v>0</v>
      </c>
      <c r="N75" s="331">
        <f t="shared" ref="N75:U75" si="9">C68-C75</f>
        <v>0</v>
      </c>
      <c r="O75" s="331">
        <f t="shared" si="9"/>
        <v>0</v>
      </c>
      <c r="P75" s="331">
        <f t="shared" si="9"/>
        <v>0</v>
      </c>
      <c r="Q75" s="331">
        <f t="shared" si="9"/>
        <v>-73.819999999999993</v>
      </c>
      <c r="R75" s="331">
        <f t="shared" si="9"/>
        <v>-66</v>
      </c>
      <c r="S75" s="331">
        <f t="shared" si="9"/>
        <v>-66</v>
      </c>
      <c r="T75" s="331">
        <f t="shared" si="9"/>
        <v>-66</v>
      </c>
      <c r="U75" s="331">
        <f t="shared" si="9"/>
        <v>-271.82000000000005</v>
      </c>
      <c r="W75" s="446" t="s">
        <v>159</v>
      </c>
      <c r="X75" s="447">
        <f>M75/B75</f>
        <v>0</v>
      </c>
      <c r="Y75" s="447">
        <f t="shared" ref="Y75:AF75" si="10">N75/C75</f>
        <v>0</v>
      </c>
      <c r="Z75" s="447">
        <f t="shared" si="10"/>
        <v>0</v>
      </c>
      <c r="AA75" s="447">
        <f t="shared" si="10"/>
        <v>0</v>
      </c>
      <c r="AB75" s="447">
        <f t="shared" si="10"/>
        <v>-0.94641025641025633</v>
      </c>
      <c r="AC75" s="447">
        <f t="shared" si="10"/>
        <v>-0.84615384615384615</v>
      </c>
      <c r="AD75" s="447">
        <f t="shared" si="10"/>
        <v>-0.84615384615384615</v>
      </c>
      <c r="AE75" s="447">
        <f t="shared" si="10"/>
        <v>-0.84615384615384615</v>
      </c>
      <c r="AF75" s="447">
        <f t="shared" si="10"/>
        <v>-0.7960522462367482</v>
      </c>
    </row>
    <row r="77" spans="1:32" ht="15">
      <c r="A77" s="8" t="s">
        <v>161</v>
      </c>
      <c r="B77" s="7"/>
      <c r="C77" s="7"/>
      <c r="D77" s="8"/>
      <c r="E77" s="7"/>
      <c r="F77" s="438"/>
      <c r="G77" s="7"/>
      <c r="H77" s="7"/>
      <c r="I77" s="7"/>
      <c r="J77" s="7"/>
      <c r="L77" s="8" t="s">
        <v>107</v>
      </c>
      <c r="M77" s="7"/>
      <c r="N77" s="7"/>
      <c r="O77" s="8"/>
      <c r="P77" s="7"/>
      <c r="Q77" s="438"/>
      <c r="R77" s="7"/>
      <c r="S77" s="7"/>
      <c r="T77" s="7"/>
      <c r="U77" s="7"/>
      <c r="W77" s="8" t="s">
        <v>108</v>
      </c>
      <c r="X77" s="7"/>
      <c r="Y77" s="7"/>
      <c r="Z77" s="8"/>
      <c r="AA77" s="7"/>
      <c r="AB77" s="438"/>
      <c r="AC77" s="7"/>
      <c r="AD77" s="7"/>
      <c r="AE77" s="7"/>
      <c r="AF77" s="7"/>
    </row>
    <row r="78" spans="1:32">
      <c r="A78" s="7"/>
      <c r="B78" s="7"/>
      <c r="C78" s="7"/>
      <c r="D78" s="8"/>
      <c r="E78" s="7"/>
      <c r="F78" s="7"/>
      <c r="G78" s="7"/>
      <c r="H78" s="7"/>
      <c r="I78" s="7"/>
      <c r="J78" s="7"/>
      <c r="L78" s="7"/>
      <c r="M78" s="7"/>
      <c r="N78" s="7"/>
      <c r="O78" s="8"/>
      <c r="P78" s="7"/>
      <c r="Q78" s="7"/>
      <c r="R78" s="7"/>
      <c r="S78" s="7"/>
      <c r="T78" s="7"/>
      <c r="U78" s="7"/>
      <c r="W78" s="7"/>
      <c r="X78" s="7"/>
      <c r="Y78" s="7"/>
      <c r="Z78" s="8"/>
      <c r="AA78" s="7"/>
      <c r="AB78" s="7"/>
      <c r="AC78" s="7"/>
      <c r="AD78" s="7"/>
      <c r="AE78" s="7"/>
      <c r="AF78" s="7"/>
    </row>
    <row r="79" spans="1:32" ht="12.75" customHeight="1">
      <c r="A79" s="10"/>
      <c r="B79" s="666" t="s">
        <v>162</v>
      </c>
      <c r="C79" s="667"/>
      <c r="D79" s="667"/>
      <c r="E79" s="667"/>
      <c r="F79" s="667"/>
      <c r="G79" s="667"/>
      <c r="H79" s="667"/>
      <c r="I79" s="667"/>
      <c r="J79" s="668"/>
      <c r="L79" s="10"/>
      <c r="M79" s="666" t="s">
        <v>162</v>
      </c>
      <c r="N79" s="667"/>
      <c r="O79" s="667"/>
      <c r="P79" s="667"/>
      <c r="Q79" s="667"/>
      <c r="R79" s="667"/>
      <c r="S79" s="667"/>
      <c r="T79" s="667"/>
      <c r="U79" s="668"/>
      <c r="W79" s="10"/>
      <c r="X79" s="666" t="s">
        <v>162</v>
      </c>
      <c r="Y79" s="667"/>
      <c r="Z79" s="667"/>
      <c r="AA79" s="667"/>
      <c r="AB79" s="667"/>
      <c r="AC79" s="667"/>
      <c r="AD79" s="667"/>
      <c r="AE79" s="667"/>
      <c r="AF79" s="668"/>
    </row>
    <row r="80" spans="1:32" ht="25.8">
      <c r="A80" s="12"/>
      <c r="B80" s="286">
        <v>2014</v>
      </c>
      <c r="C80" s="353">
        <v>2015</v>
      </c>
      <c r="D80" s="353">
        <v>2016</v>
      </c>
      <c r="E80" s="354">
        <v>2017</v>
      </c>
      <c r="F80" s="353">
        <v>2018</v>
      </c>
      <c r="G80" s="354">
        <v>2019</v>
      </c>
      <c r="H80" s="353">
        <v>2020</v>
      </c>
      <c r="I80" s="355">
        <v>2021</v>
      </c>
      <c r="J80" s="356" t="s">
        <v>65</v>
      </c>
      <c r="L80" s="12"/>
      <c r="M80" s="286">
        <v>2014</v>
      </c>
      <c r="N80" s="353">
        <v>2015</v>
      </c>
      <c r="O80" s="353">
        <v>2016</v>
      </c>
      <c r="P80" s="354">
        <v>2017</v>
      </c>
      <c r="Q80" s="353">
        <v>2018</v>
      </c>
      <c r="R80" s="354">
        <v>2019</v>
      </c>
      <c r="S80" s="353">
        <v>2020</v>
      </c>
      <c r="T80" s="355">
        <v>2021</v>
      </c>
      <c r="U80" s="356" t="s">
        <v>65</v>
      </c>
      <c r="W80" s="12"/>
      <c r="X80" s="286">
        <v>2014</v>
      </c>
      <c r="Y80" s="353">
        <v>2015</v>
      </c>
      <c r="Z80" s="353">
        <v>2016</v>
      </c>
      <c r="AA80" s="354">
        <v>2017</v>
      </c>
      <c r="AB80" s="353">
        <v>2018</v>
      </c>
      <c r="AC80" s="354">
        <v>2019</v>
      </c>
      <c r="AD80" s="353">
        <v>2020</v>
      </c>
      <c r="AE80" s="355">
        <v>2021</v>
      </c>
      <c r="AF80" s="356" t="s">
        <v>65</v>
      </c>
    </row>
    <row r="81" spans="1:32">
      <c r="A81" s="446" t="s">
        <v>159</v>
      </c>
      <c r="B81" s="331">
        <v>181</v>
      </c>
      <c r="C81" s="331">
        <v>168</v>
      </c>
      <c r="D81" s="331">
        <v>153</v>
      </c>
      <c r="E81" s="331">
        <v>141</v>
      </c>
      <c r="F81" s="331">
        <v>161</v>
      </c>
      <c r="G81" s="331">
        <v>182</v>
      </c>
      <c r="H81" s="331">
        <v>202</v>
      </c>
      <c r="I81" s="331">
        <v>223</v>
      </c>
      <c r="J81" s="331">
        <v>1411</v>
      </c>
      <c r="L81" s="446" t="s">
        <v>159</v>
      </c>
      <c r="M81" s="331">
        <f t="shared" ref="M81:U81" si="11">B68-B81</f>
        <v>-165.2</v>
      </c>
      <c r="N81" s="331">
        <f t="shared" si="11"/>
        <v>-162.77000000000001</v>
      </c>
      <c r="O81" s="331">
        <f t="shared" si="11"/>
        <v>-148.46</v>
      </c>
      <c r="P81" s="331">
        <f t="shared" si="11"/>
        <v>-137.11000000000001</v>
      </c>
      <c r="Q81" s="331">
        <f t="shared" si="11"/>
        <v>-156.82</v>
      </c>
      <c r="R81" s="331">
        <f t="shared" si="11"/>
        <v>-170</v>
      </c>
      <c r="S81" s="331">
        <f t="shared" si="11"/>
        <v>-190</v>
      </c>
      <c r="T81" s="331">
        <f t="shared" si="11"/>
        <v>-211</v>
      </c>
      <c r="U81" s="331">
        <f t="shared" si="11"/>
        <v>-1341.36</v>
      </c>
      <c r="W81" s="446" t="s">
        <v>159</v>
      </c>
      <c r="X81" s="447">
        <f t="shared" ref="X81:AF81" si="12">M81/B81</f>
        <v>-0.9127071823204419</v>
      </c>
      <c r="Y81" s="447">
        <f t="shared" si="12"/>
        <v>-0.96886904761904769</v>
      </c>
      <c r="Z81" s="447">
        <f t="shared" si="12"/>
        <v>-0.970326797385621</v>
      </c>
      <c r="AA81" s="447">
        <f t="shared" si="12"/>
        <v>-0.97241134751773062</v>
      </c>
      <c r="AB81" s="447">
        <f t="shared" si="12"/>
        <v>-0.97403726708074534</v>
      </c>
      <c r="AC81" s="447">
        <f t="shared" si="12"/>
        <v>-0.93406593406593408</v>
      </c>
      <c r="AD81" s="447">
        <f t="shared" si="12"/>
        <v>-0.94059405940594054</v>
      </c>
      <c r="AE81" s="447">
        <f t="shared" si="12"/>
        <v>-0.94618834080717484</v>
      </c>
      <c r="AF81" s="447">
        <f t="shared" si="12"/>
        <v>-0.9506449326718639</v>
      </c>
    </row>
    <row r="84" spans="1:32" ht="16.2">
      <c r="A84" s="437" t="s">
        <v>163</v>
      </c>
    </row>
    <row r="86" spans="1:32" ht="27.75" customHeight="1">
      <c r="A86" s="665" t="s">
        <v>164</v>
      </c>
      <c r="B86" s="665"/>
      <c r="C86" s="665"/>
      <c r="D86" s="665"/>
      <c r="E86" s="665"/>
      <c r="F86" s="665"/>
      <c r="G86" s="665"/>
      <c r="H86" s="665"/>
      <c r="I86" s="665"/>
      <c r="J86" s="665"/>
    </row>
    <row r="87" spans="1:32">
      <c r="A87" s="7"/>
      <c r="B87" s="7"/>
      <c r="C87" s="7"/>
      <c r="D87" s="8"/>
      <c r="E87" s="7"/>
      <c r="F87" s="7"/>
      <c r="G87" s="7"/>
      <c r="H87" s="7"/>
      <c r="I87" s="7"/>
      <c r="J87" s="7"/>
    </row>
    <row r="88" spans="1:32" ht="12.75" customHeight="1">
      <c r="A88" s="10"/>
      <c r="B88" s="649" t="s">
        <v>3</v>
      </c>
      <c r="C88" s="650"/>
      <c r="D88" s="650"/>
      <c r="E88" s="651"/>
      <c r="F88" s="655" t="s">
        <v>4</v>
      </c>
      <c r="G88" s="664" t="s">
        <v>5</v>
      </c>
      <c r="H88" s="657"/>
      <c r="I88" s="658"/>
      <c r="J88" s="348"/>
    </row>
    <row r="89" spans="1:32">
      <c r="A89" s="11"/>
      <c r="B89" s="652"/>
      <c r="C89" s="653"/>
      <c r="D89" s="653"/>
      <c r="E89" s="654"/>
      <c r="F89" s="656"/>
      <c r="G89" s="646"/>
      <c r="H89" s="647"/>
      <c r="I89" s="648"/>
      <c r="J89" s="488"/>
    </row>
    <row r="90" spans="1:32" ht="25.8">
      <c r="A90" s="12"/>
      <c r="B90" s="286">
        <v>2014</v>
      </c>
      <c r="C90" s="353">
        <v>2015</v>
      </c>
      <c r="D90" s="353">
        <v>2016</v>
      </c>
      <c r="E90" s="354">
        <v>2017</v>
      </c>
      <c r="F90" s="353">
        <v>2018</v>
      </c>
      <c r="G90" s="354">
        <v>2019</v>
      </c>
      <c r="H90" s="353">
        <v>2020</v>
      </c>
      <c r="I90" s="355">
        <v>2021</v>
      </c>
      <c r="J90" s="356" t="s">
        <v>6</v>
      </c>
    </row>
    <row r="91" spans="1:32">
      <c r="A91" s="446" t="s">
        <v>165</v>
      </c>
      <c r="B91" s="489">
        <f>+B98</f>
        <v>6.2E-2</v>
      </c>
      <c r="C91" s="489">
        <f>+C98</f>
        <v>5.7000000000000002E-2</v>
      </c>
      <c r="D91" s="489">
        <f>+D98</f>
        <v>4.9882352941176503E-2</v>
      </c>
      <c r="E91" s="489">
        <f>+E98</f>
        <v>4.5999999999999999E-2</v>
      </c>
      <c r="F91" s="475">
        <v>5.0369999999999998E-2</v>
      </c>
      <c r="G91" s="475">
        <v>7.4015999999999998E-2</v>
      </c>
      <c r="H91" s="475">
        <v>7.6014431999999993E-2</v>
      </c>
      <c r="I91" s="475">
        <v>7.7990807231999998E-2</v>
      </c>
      <c r="J91" s="489">
        <f>SUM(B91:I91)</f>
        <v>0.49327359217317646</v>
      </c>
    </row>
    <row r="93" spans="1:32" ht="31.5" customHeight="1">
      <c r="A93" s="665" t="s">
        <v>166</v>
      </c>
      <c r="B93" s="665"/>
      <c r="C93" s="665"/>
      <c r="D93" s="665"/>
      <c r="E93" s="665"/>
      <c r="F93" s="665"/>
      <c r="G93" s="665"/>
      <c r="H93" s="665"/>
      <c r="I93" s="665"/>
      <c r="J93" s="665"/>
      <c r="L93" s="665" t="s">
        <v>49</v>
      </c>
      <c r="M93" s="665"/>
      <c r="N93" s="665"/>
      <c r="O93" s="665"/>
      <c r="P93" s="665"/>
      <c r="Q93" s="665"/>
      <c r="R93" s="665"/>
      <c r="S93" s="665"/>
      <c r="T93" s="665"/>
      <c r="U93" s="665"/>
      <c r="W93" s="665" t="s">
        <v>50</v>
      </c>
      <c r="X93" s="665"/>
      <c r="Y93" s="665"/>
      <c r="Z93" s="665"/>
      <c r="AA93" s="665"/>
      <c r="AB93" s="665"/>
      <c r="AC93" s="665"/>
      <c r="AD93" s="665"/>
      <c r="AE93" s="665"/>
      <c r="AF93" s="665"/>
    </row>
    <row r="94" spans="1:32">
      <c r="A94" s="7"/>
      <c r="B94" s="7"/>
      <c r="C94" s="7"/>
      <c r="D94" s="8"/>
      <c r="E94" s="7"/>
      <c r="F94" s="7"/>
      <c r="G94" s="7"/>
      <c r="H94" s="7"/>
      <c r="I94" s="7"/>
      <c r="J94" s="7"/>
      <c r="L94" s="7"/>
      <c r="M94" s="7"/>
      <c r="N94" s="7"/>
      <c r="O94" s="8"/>
      <c r="P94" s="7"/>
      <c r="Q94" s="7"/>
      <c r="R94" s="7"/>
      <c r="S94" s="7"/>
      <c r="T94" s="7"/>
      <c r="U94" s="7"/>
      <c r="W94" s="7"/>
      <c r="X94" s="7"/>
      <c r="Y94" s="7"/>
      <c r="Z94" s="8"/>
      <c r="AA94" s="7"/>
      <c r="AB94" s="7"/>
      <c r="AC94" s="7"/>
      <c r="AD94" s="7"/>
      <c r="AE94" s="7"/>
      <c r="AF94" s="7"/>
    </row>
    <row r="95" spans="1:32" ht="12.75" customHeight="1">
      <c r="A95" s="10"/>
      <c r="B95" s="662" t="s">
        <v>3</v>
      </c>
      <c r="C95" s="662"/>
      <c r="D95" s="662"/>
      <c r="E95" s="662"/>
      <c r="F95" s="663" t="s">
        <v>104</v>
      </c>
      <c r="G95" s="663"/>
      <c r="H95" s="663"/>
      <c r="I95" s="663"/>
      <c r="J95" s="348"/>
      <c r="L95" s="10"/>
      <c r="M95" s="649" t="s">
        <v>3</v>
      </c>
      <c r="N95" s="650"/>
      <c r="O95" s="651"/>
      <c r="P95" s="655" t="s">
        <v>4</v>
      </c>
      <c r="Q95" s="657" t="s">
        <v>5</v>
      </c>
      <c r="R95" s="657"/>
      <c r="S95" s="657"/>
      <c r="T95" s="658"/>
      <c r="U95" s="348"/>
      <c r="W95" s="10"/>
      <c r="X95" s="649" t="s">
        <v>3</v>
      </c>
      <c r="Y95" s="650"/>
      <c r="Z95" s="651"/>
      <c r="AA95" s="663" t="s">
        <v>5</v>
      </c>
      <c r="AB95" s="663"/>
      <c r="AC95" s="663"/>
      <c r="AD95" s="663"/>
      <c r="AE95" s="663"/>
      <c r="AF95" s="348"/>
    </row>
    <row r="96" spans="1:32">
      <c r="A96" s="11"/>
      <c r="B96" s="662"/>
      <c r="C96" s="662"/>
      <c r="D96" s="662"/>
      <c r="E96" s="662"/>
      <c r="F96" s="663"/>
      <c r="G96" s="663"/>
      <c r="H96" s="663"/>
      <c r="I96" s="663"/>
      <c r="J96" s="488"/>
      <c r="L96" s="11"/>
      <c r="M96" s="652"/>
      <c r="N96" s="653"/>
      <c r="O96" s="654"/>
      <c r="P96" s="656"/>
      <c r="Q96" s="647"/>
      <c r="R96" s="647"/>
      <c r="S96" s="647"/>
      <c r="T96" s="648"/>
      <c r="U96" s="488"/>
      <c r="W96" s="11"/>
      <c r="X96" s="652"/>
      <c r="Y96" s="653"/>
      <c r="Z96" s="654"/>
      <c r="AA96" s="663"/>
      <c r="AB96" s="663"/>
      <c r="AC96" s="663"/>
      <c r="AD96" s="663"/>
      <c r="AE96" s="663"/>
      <c r="AF96" s="488"/>
    </row>
    <row r="97" spans="1:32" ht="51" customHeight="1">
      <c r="A97" s="12"/>
      <c r="B97" s="286">
        <v>2014</v>
      </c>
      <c r="C97" s="353">
        <v>2015</v>
      </c>
      <c r="D97" s="353">
        <v>2016</v>
      </c>
      <c r="E97" s="354">
        <v>2017</v>
      </c>
      <c r="F97" s="353">
        <v>2018</v>
      </c>
      <c r="G97" s="354">
        <v>2019</v>
      </c>
      <c r="H97" s="353">
        <v>2020</v>
      </c>
      <c r="I97" s="355">
        <v>2021</v>
      </c>
      <c r="J97" s="356" t="s">
        <v>6</v>
      </c>
      <c r="L97" s="12"/>
      <c r="M97" s="286">
        <v>2014</v>
      </c>
      <c r="N97" s="353">
        <v>2015</v>
      </c>
      <c r="O97" s="353">
        <v>2016</v>
      </c>
      <c r="P97" s="354">
        <v>2017</v>
      </c>
      <c r="Q97" s="353">
        <v>2018</v>
      </c>
      <c r="R97" s="354">
        <v>2019</v>
      </c>
      <c r="S97" s="353">
        <v>2020</v>
      </c>
      <c r="T97" s="355">
        <v>2021</v>
      </c>
      <c r="U97" s="356" t="s">
        <v>6</v>
      </c>
      <c r="W97" s="12"/>
      <c r="X97" s="286">
        <v>2014</v>
      </c>
      <c r="Y97" s="353">
        <v>2015</v>
      </c>
      <c r="Z97" s="353">
        <v>2016</v>
      </c>
      <c r="AA97" s="354">
        <v>2017</v>
      </c>
      <c r="AB97" s="353">
        <v>2018</v>
      </c>
      <c r="AC97" s="354">
        <v>2019</v>
      </c>
      <c r="AD97" s="353">
        <v>2020</v>
      </c>
      <c r="AE97" s="355">
        <v>2021</v>
      </c>
      <c r="AF97" s="356" t="s">
        <v>6</v>
      </c>
    </row>
    <row r="98" spans="1:32">
      <c r="A98" s="446" t="s">
        <v>165</v>
      </c>
      <c r="B98" s="489">
        <v>6.2E-2</v>
      </c>
      <c r="C98" s="489">
        <v>5.7000000000000002E-2</v>
      </c>
      <c r="D98" s="489">
        <v>4.9882352941176503E-2</v>
      </c>
      <c r="E98" s="489">
        <v>4.5999999999999999E-2</v>
      </c>
      <c r="F98" s="489">
        <v>7.1999999999999995E-2</v>
      </c>
      <c r="G98" s="489">
        <v>7.4015999999999998E-2</v>
      </c>
      <c r="H98" s="489">
        <v>7.6014431999999993E-2</v>
      </c>
      <c r="I98" s="489">
        <v>7.7990807231999998E-2</v>
      </c>
      <c r="J98" s="489">
        <f>SUM(B98:I98)</f>
        <v>0.51490359217317649</v>
      </c>
      <c r="L98" s="446" t="s">
        <v>165</v>
      </c>
      <c r="M98" s="490">
        <f>B91-B98</f>
        <v>0</v>
      </c>
      <c r="N98" s="490">
        <f t="shared" ref="N98:T98" si="13">C91-C98</f>
        <v>0</v>
      </c>
      <c r="O98" s="490">
        <f t="shared" si="13"/>
        <v>0</v>
      </c>
      <c r="P98" s="490">
        <f t="shared" si="13"/>
        <v>0</v>
      </c>
      <c r="Q98" s="490">
        <f t="shared" si="13"/>
        <v>-2.1629999999999996E-2</v>
      </c>
      <c r="R98" s="490">
        <f t="shared" si="13"/>
        <v>0</v>
      </c>
      <c r="S98" s="490">
        <f t="shared" si="13"/>
        <v>0</v>
      </c>
      <c r="T98" s="490">
        <f t="shared" si="13"/>
        <v>0</v>
      </c>
      <c r="U98" s="331"/>
      <c r="W98" s="446" t="s">
        <v>165</v>
      </c>
      <c r="X98" s="447">
        <f t="shared" ref="X98:AE98" si="14">M98/B98</f>
        <v>0</v>
      </c>
      <c r="Y98" s="447">
        <f t="shared" si="14"/>
        <v>0</v>
      </c>
      <c r="Z98" s="447">
        <f t="shared" si="14"/>
        <v>0</v>
      </c>
      <c r="AA98" s="447">
        <f t="shared" si="14"/>
        <v>0</v>
      </c>
      <c r="AB98" s="447">
        <f t="shared" si="14"/>
        <v>-0.30041666666666667</v>
      </c>
      <c r="AC98" s="447">
        <f t="shared" si="14"/>
        <v>0</v>
      </c>
      <c r="AD98" s="447">
        <f t="shared" si="14"/>
        <v>0</v>
      </c>
      <c r="AE98" s="447">
        <f t="shared" si="14"/>
        <v>0</v>
      </c>
      <c r="AF98" s="447"/>
    </row>
    <row r="100" spans="1:32" ht="27.75" customHeight="1">
      <c r="A100" s="665" t="s">
        <v>167</v>
      </c>
      <c r="B100" s="665"/>
      <c r="C100" s="665"/>
      <c r="D100" s="665"/>
      <c r="E100" s="665"/>
      <c r="F100" s="665"/>
      <c r="G100" s="665"/>
      <c r="H100" s="665"/>
      <c r="I100" s="665"/>
      <c r="J100" s="665"/>
      <c r="L100" s="665" t="s">
        <v>107</v>
      </c>
      <c r="M100" s="665"/>
      <c r="N100" s="665"/>
      <c r="O100" s="665"/>
      <c r="P100" s="665"/>
      <c r="Q100" s="665"/>
      <c r="R100" s="665"/>
      <c r="S100" s="665"/>
      <c r="T100" s="665"/>
      <c r="U100" s="665"/>
      <c r="W100" s="665" t="s">
        <v>108</v>
      </c>
      <c r="X100" s="665"/>
      <c r="Y100" s="665"/>
      <c r="Z100" s="665"/>
      <c r="AA100" s="665"/>
      <c r="AB100" s="665"/>
      <c r="AC100" s="665"/>
      <c r="AD100" s="665"/>
      <c r="AE100" s="665"/>
      <c r="AF100" s="665"/>
    </row>
    <row r="101" spans="1:32">
      <c r="A101" s="7"/>
      <c r="B101" s="7"/>
      <c r="C101" s="7"/>
      <c r="D101" s="8"/>
      <c r="E101" s="7"/>
      <c r="F101" s="7"/>
      <c r="G101" s="7"/>
      <c r="H101" s="7"/>
      <c r="I101" s="7"/>
      <c r="J101" s="7"/>
      <c r="L101" s="7"/>
      <c r="M101" s="7"/>
      <c r="N101" s="7"/>
      <c r="O101" s="8"/>
      <c r="P101" s="7"/>
      <c r="Q101" s="7"/>
      <c r="R101" s="7"/>
      <c r="S101" s="7"/>
      <c r="T101" s="7"/>
      <c r="U101" s="7"/>
      <c r="W101" s="7"/>
      <c r="X101" s="7"/>
      <c r="Y101" s="7"/>
      <c r="Z101" s="8"/>
      <c r="AA101" s="7"/>
      <c r="AB101" s="7"/>
      <c r="AC101" s="7"/>
      <c r="AD101" s="7"/>
      <c r="AE101" s="7"/>
      <c r="AF101" s="7"/>
    </row>
    <row r="102" spans="1:32" ht="12.75" customHeight="1">
      <c r="A102" s="10"/>
      <c r="B102" s="666" t="s">
        <v>162</v>
      </c>
      <c r="C102" s="667"/>
      <c r="D102" s="667"/>
      <c r="E102" s="667"/>
      <c r="F102" s="667"/>
      <c r="G102" s="667"/>
      <c r="H102" s="667"/>
      <c r="I102" s="667"/>
      <c r="J102" s="668"/>
      <c r="L102" s="10"/>
      <c r="M102" s="666" t="s">
        <v>162</v>
      </c>
      <c r="N102" s="667"/>
      <c r="O102" s="667"/>
      <c r="P102" s="667"/>
      <c r="Q102" s="667"/>
      <c r="R102" s="667"/>
      <c r="S102" s="667"/>
      <c r="T102" s="667"/>
      <c r="U102" s="668"/>
      <c r="W102" s="10"/>
      <c r="X102" s="666" t="s">
        <v>162</v>
      </c>
      <c r="Y102" s="667"/>
      <c r="Z102" s="667"/>
      <c r="AA102" s="667"/>
      <c r="AB102" s="667"/>
      <c r="AC102" s="667"/>
      <c r="AD102" s="667"/>
      <c r="AE102" s="667"/>
      <c r="AF102" s="668"/>
    </row>
    <row r="103" spans="1:32" ht="25.8">
      <c r="A103" s="12"/>
      <c r="B103" s="286">
        <v>2014</v>
      </c>
      <c r="C103" s="353">
        <v>2015</v>
      </c>
      <c r="D103" s="353">
        <v>2016</v>
      </c>
      <c r="E103" s="354">
        <v>2017</v>
      </c>
      <c r="F103" s="353">
        <v>2018</v>
      </c>
      <c r="G103" s="354">
        <v>2019</v>
      </c>
      <c r="H103" s="353">
        <v>2020</v>
      </c>
      <c r="I103" s="355">
        <v>2021</v>
      </c>
      <c r="J103" s="356" t="s">
        <v>65</v>
      </c>
      <c r="L103" s="12"/>
      <c r="M103" s="286">
        <v>2014</v>
      </c>
      <c r="N103" s="353">
        <v>2015</v>
      </c>
      <c r="O103" s="353">
        <v>2016</v>
      </c>
      <c r="P103" s="354">
        <v>2017</v>
      </c>
      <c r="Q103" s="353">
        <v>2018</v>
      </c>
      <c r="R103" s="354">
        <v>2019</v>
      </c>
      <c r="S103" s="353">
        <v>2020</v>
      </c>
      <c r="T103" s="355">
        <v>2021</v>
      </c>
      <c r="U103" s="356" t="s">
        <v>65</v>
      </c>
      <c r="W103" s="12"/>
      <c r="X103" s="286">
        <v>2014</v>
      </c>
      <c r="Y103" s="353">
        <v>2015</v>
      </c>
      <c r="Z103" s="353">
        <v>2016</v>
      </c>
      <c r="AA103" s="354">
        <v>2017</v>
      </c>
      <c r="AB103" s="353">
        <v>2018</v>
      </c>
      <c r="AC103" s="354">
        <v>2019</v>
      </c>
      <c r="AD103" s="353">
        <v>2020</v>
      </c>
      <c r="AE103" s="355">
        <v>2021</v>
      </c>
      <c r="AF103" s="356" t="s">
        <v>65</v>
      </c>
    </row>
    <row r="104" spans="1:32">
      <c r="A104" s="446" t="s">
        <v>165</v>
      </c>
      <c r="B104" s="491">
        <v>7.2999999999999995E-2</v>
      </c>
      <c r="C104" s="491">
        <v>7.1999999999999995E-2</v>
      </c>
      <c r="D104" s="491">
        <v>7.0999999999999994E-2</v>
      </c>
      <c r="E104" s="491">
        <v>7.0000000000000007E-2</v>
      </c>
      <c r="F104" s="491">
        <v>7.1999999999999995E-2</v>
      </c>
      <c r="G104" s="491">
        <v>7.3999999999999996E-2</v>
      </c>
      <c r="H104" s="491">
        <v>7.5999999999999998E-2</v>
      </c>
      <c r="I104" s="491">
        <v>7.8E-2</v>
      </c>
      <c r="J104" s="489">
        <v>0.58599999999999997</v>
      </c>
      <c r="L104" s="446" t="s">
        <v>165</v>
      </c>
      <c r="M104" s="490">
        <f>+B91-B104</f>
        <v>-1.0999999999999996E-2</v>
      </c>
      <c r="N104" s="490">
        <f t="shared" ref="N104:T104" si="15">+C91-C104</f>
        <v>-1.4999999999999993E-2</v>
      </c>
      <c r="O104" s="490">
        <f t="shared" si="15"/>
        <v>-2.1117647058823491E-2</v>
      </c>
      <c r="P104" s="490">
        <f t="shared" si="15"/>
        <v>-2.4000000000000007E-2</v>
      </c>
      <c r="Q104" s="490">
        <f t="shared" si="15"/>
        <v>-2.1629999999999996E-2</v>
      </c>
      <c r="R104" s="490">
        <f t="shared" si="15"/>
        <v>1.6000000000002124E-5</v>
      </c>
      <c r="S104" s="490">
        <f t="shared" si="15"/>
        <v>1.4431999999994782E-5</v>
      </c>
      <c r="T104" s="490">
        <f t="shared" si="15"/>
        <v>-9.1927680000020162E-6</v>
      </c>
      <c r="U104" s="331"/>
      <c r="W104" s="446" t="s">
        <v>165</v>
      </c>
      <c r="X104" s="447">
        <f t="shared" ref="X104:AE104" si="16">M104/B104</f>
        <v>-0.15068493150684928</v>
      </c>
      <c r="Y104" s="447">
        <f t="shared" si="16"/>
        <v>-0.20833333333333323</v>
      </c>
      <c r="Z104" s="447">
        <f t="shared" si="16"/>
        <v>-0.29743164871582384</v>
      </c>
      <c r="AA104" s="447">
        <f t="shared" si="16"/>
        <v>-0.34285714285714292</v>
      </c>
      <c r="AB104" s="447">
        <f t="shared" si="16"/>
        <v>-0.30041666666666667</v>
      </c>
      <c r="AC104" s="447">
        <f t="shared" si="16"/>
        <v>2.1621621621624492E-4</v>
      </c>
      <c r="AD104" s="447">
        <f t="shared" si="16"/>
        <v>1.8989473684203663E-4</v>
      </c>
      <c r="AE104" s="447">
        <f t="shared" si="16"/>
        <v>-1.1785600000002585E-4</v>
      </c>
      <c r="AF104" s="447"/>
    </row>
    <row r="107" spans="1:32" ht="12.75" customHeight="1">
      <c r="A107" s="437" t="s">
        <v>168</v>
      </c>
      <c r="B107" s="437"/>
      <c r="C107" s="437"/>
      <c r="D107" s="437"/>
      <c r="E107" s="437"/>
      <c r="F107" s="437"/>
      <c r="G107" s="437"/>
      <c r="H107" s="437"/>
      <c r="I107" s="437"/>
      <c r="J107" s="437"/>
    </row>
    <row r="109" spans="1:32" ht="12.75" customHeight="1">
      <c r="A109" s="10"/>
      <c r="B109" s="649" t="s">
        <v>3</v>
      </c>
      <c r="C109" s="650"/>
      <c r="D109" s="650"/>
      <c r="E109" s="651"/>
      <c r="F109" s="655" t="s">
        <v>4</v>
      </c>
      <c r="G109" s="664" t="s">
        <v>5</v>
      </c>
      <c r="H109" s="657"/>
      <c r="I109" s="658"/>
    </row>
    <row r="110" spans="1:32">
      <c r="A110" s="11"/>
      <c r="B110" s="652"/>
      <c r="C110" s="653"/>
      <c r="D110" s="653"/>
      <c r="E110" s="654"/>
      <c r="F110" s="656"/>
      <c r="G110" s="646"/>
      <c r="H110" s="647"/>
      <c r="I110" s="648"/>
    </row>
    <row r="111" spans="1:32">
      <c r="A111" s="12"/>
      <c r="B111" s="286">
        <v>2014</v>
      </c>
      <c r="C111" s="353">
        <v>2015</v>
      </c>
      <c r="D111" s="353">
        <v>2016</v>
      </c>
      <c r="E111" s="354">
        <v>2017</v>
      </c>
      <c r="F111" s="353">
        <v>2018</v>
      </c>
      <c r="G111" s="354">
        <v>2019</v>
      </c>
      <c r="H111" s="353">
        <v>2020</v>
      </c>
      <c r="I111" s="355">
        <v>2021</v>
      </c>
    </row>
    <row r="112" spans="1:32">
      <c r="A112" s="441" t="s">
        <v>169</v>
      </c>
      <c r="B112" s="331">
        <v>11.716009593464564</v>
      </c>
      <c r="C112" s="331">
        <v>11.716009593464564</v>
      </c>
      <c r="D112" s="483">
        <v>12.59</v>
      </c>
      <c r="E112" s="483">
        <v>0</v>
      </c>
      <c r="F112" s="330">
        <v>0</v>
      </c>
      <c r="G112" s="330">
        <v>67</v>
      </c>
      <c r="H112" s="330">
        <v>66</v>
      </c>
      <c r="I112" s="330">
        <v>65</v>
      </c>
    </row>
    <row r="113" spans="1:12">
      <c r="A113" s="446" t="s">
        <v>170</v>
      </c>
      <c r="B113" s="331">
        <v>62420</v>
      </c>
      <c r="C113" s="331">
        <v>62420</v>
      </c>
      <c r="D113" s="483">
        <v>57846</v>
      </c>
      <c r="E113" s="483">
        <v>66050</v>
      </c>
      <c r="F113" s="330">
        <v>67798</v>
      </c>
      <c r="G113" s="330">
        <v>67147</v>
      </c>
      <c r="H113" s="330">
        <v>66068</v>
      </c>
      <c r="I113" s="330">
        <v>65685</v>
      </c>
    </row>
    <row r="114" spans="1:12">
      <c r="A114" s="446" t="s">
        <v>171</v>
      </c>
      <c r="B114" s="492">
        <v>1.8769640489369697E-4</v>
      </c>
      <c r="C114" s="492">
        <v>1.8769640489369697E-4</v>
      </c>
      <c r="D114" s="492">
        <v>2.1764685544376449E-4</v>
      </c>
      <c r="E114" s="492">
        <v>1.0218866773430947E-3</v>
      </c>
      <c r="F114" s="492">
        <f t="shared" ref="F114:I114" si="17">IF(ISERROR(F112/F113),"",(F112/F113))</f>
        <v>0</v>
      </c>
      <c r="G114" s="492">
        <f t="shared" si="17"/>
        <v>9.9781077337781276E-4</v>
      </c>
      <c r="H114" s="492">
        <f t="shared" si="17"/>
        <v>9.9897075740146518E-4</v>
      </c>
      <c r="I114" s="492">
        <f t="shared" si="17"/>
        <v>9.8957143944584003E-4</v>
      </c>
    </row>
    <row r="116" spans="1:12" ht="16.2">
      <c r="A116" s="493" t="s">
        <v>172</v>
      </c>
      <c r="B116" s="494"/>
      <c r="C116" s="494"/>
    </row>
    <row r="117" spans="1:12" ht="16.2">
      <c r="A117" s="493"/>
      <c r="B117" s="494"/>
      <c r="C117" s="494"/>
    </row>
    <row r="118" spans="1:12" ht="12.75" customHeight="1">
      <c r="A118" s="662" t="s">
        <v>173</v>
      </c>
      <c r="B118" s="649" t="s">
        <v>3</v>
      </c>
      <c r="C118" s="650"/>
      <c r="D118" s="650"/>
      <c r="E118" s="651"/>
      <c r="F118" s="655" t="s">
        <v>4</v>
      </c>
      <c r="G118" s="664" t="s">
        <v>5</v>
      </c>
      <c r="H118" s="657"/>
      <c r="I118" s="658"/>
      <c r="L118" t="s">
        <v>174</v>
      </c>
    </row>
    <row r="119" spans="1:12" ht="12.75" customHeight="1">
      <c r="A119" s="662"/>
      <c r="B119" s="652"/>
      <c r="C119" s="653"/>
      <c r="D119" s="653"/>
      <c r="E119" s="654"/>
      <c r="F119" s="656"/>
      <c r="G119" s="646"/>
      <c r="H119" s="647"/>
      <c r="I119" s="648"/>
    </row>
    <row r="120" spans="1:12" ht="13.8">
      <c r="A120" s="495"/>
      <c r="B120" s="286">
        <v>2014</v>
      </c>
      <c r="C120" s="353">
        <v>2015</v>
      </c>
      <c r="D120" s="353">
        <v>2016</v>
      </c>
      <c r="E120" s="354">
        <v>2017</v>
      </c>
      <c r="F120" s="353">
        <v>2018</v>
      </c>
      <c r="G120" s="354">
        <v>2019</v>
      </c>
      <c r="H120" s="353">
        <v>2020</v>
      </c>
      <c r="I120" s="355">
        <v>2021</v>
      </c>
    </row>
    <row r="121" spans="1:12">
      <c r="A121" s="441" t="s">
        <v>175</v>
      </c>
      <c r="B121" s="496">
        <v>171</v>
      </c>
      <c r="C121" s="496">
        <v>164</v>
      </c>
      <c r="D121" s="496">
        <v>161</v>
      </c>
      <c r="E121" s="496">
        <v>161</v>
      </c>
      <c r="F121" s="483">
        <v>146</v>
      </c>
      <c r="G121" s="330">
        <v>146</v>
      </c>
      <c r="H121" s="330">
        <v>146</v>
      </c>
      <c r="I121" s="330">
        <v>146</v>
      </c>
    </row>
    <row r="122" spans="1:12">
      <c r="A122" s="441" t="s">
        <v>176</v>
      </c>
      <c r="B122" s="496">
        <v>81</v>
      </c>
      <c r="C122" s="496">
        <v>80</v>
      </c>
      <c r="D122" s="496">
        <v>76</v>
      </c>
      <c r="E122" s="496">
        <v>72</v>
      </c>
      <c r="F122" s="483">
        <v>80</v>
      </c>
      <c r="G122" s="330">
        <v>80</v>
      </c>
      <c r="H122" s="330">
        <v>80</v>
      </c>
      <c r="I122" s="330">
        <v>80</v>
      </c>
    </row>
    <row r="123" spans="1:12">
      <c r="A123" s="441" t="s">
        <v>177</v>
      </c>
      <c r="B123" s="496">
        <v>39</v>
      </c>
      <c r="C123" s="496">
        <v>39</v>
      </c>
      <c r="D123" s="496">
        <v>41</v>
      </c>
      <c r="E123" s="496">
        <v>38</v>
      </c>
      <c r="F123" s="483">
        <v>33</v>
      </c>
      <c r="G123" s="330">
        <v>33</v>
      </c>
      <c r="H123" s="330">
        <v>33</v>
      </c>
      <c r="I123" s="330">
        <v>33</v>
      </c>
    </row>
    <row r="124" spans="1:12">
      <c r="A124" s="441" t="s">
        <v>178</v>
      </c>
      <c r="B124" s="496">
        <v>51</v>
      </c>
      <c r="C124" s="496">
        <v>51</v>
      </c>
      <c r="D124" s="496">
        <v>55</v>
      </c>
      <c r="E124" s="496">
        <v>78</v>
      </c>
      <c r="F124" s="483">
        <v>74</v>
      </c>
      <c r="G124" s="330">
        <v>74</v>
      </c>
      <c r="H124" s="330">
        <v>74</v>
      </c>
      <c r="I124" s="330">
        <v>74</v>
      </c>
    </row>
    <row r="125" spans="1:12">
      <c r="A125" s="441" t="s">
        <v>179</v>
      </c>
      <c r="B125" s="496">
        <v>0</v>
      </c>
      <c r="C125" s="496">
        <v>0</v>
      </c>
      <c r="D125" s="496">
        <v>1</v>
      </c>
      <c r="E125" s="496">
        <v>0</v>
      </c>
      <c r="F125" s="483">
        <v>0</v>
      </c>
      <c r="G125" s="330">
        <v>0</v>
      </c>
      <c r="H125" s="330">
        <v>0</v>
      </c>
      <c r="I125" s="330">
        <v>0</v>
      </c>
    </row>
    <row r="126" spans="1:12">
      <c r="A126" s="441" t="s">
        <v>180</v>
      </c>
      <c r="B126" s="496">
        <v>342</v>
      </c>
      <c r="C126" s="496">
        <v>334</v>
      </c>
      <c r="D126" s="496">
        <v>334</v>
      </c>
      <c r="E126" s="496">
        <v>333</v>
      </c>
      <c r="F126" s="483">
        <v>333</v>
      </c>
      <c r="G126" s="330">
        <v>333</v>
      </c>
      <c r="H126" s="330">
        <v>333</v>
      </c>
      <c r="I126" s="330">
        <v>333</v>
      </c>
    </row>
    <row r="133" spans="2:2">
      <c r="B133" s="497"/>
    </row>
  </sheetData>
  <mergeCells count="64">
    <mergeCell ref="AB20:AE21"/>
    <mergeCell ref="B11:E12"/>
    <mergeCell ref="F11:F12"/>
    <mergeCell ref="G11:I12"/>
    <mergeCell ref="B20:D21"/>
    <mergeCell ref="E20:E21"/>
    <mergeCell ref="F20:I21"/>
    <mergeCell ref="M20:O21"/>
    <mergeCell ref="P20:P21"/>
    <mergeCell ref="Q20:T21"/>
    <mergeCell ref="X20:Z21"/>
    <mergeCell ref="AA20:AA21"/>
    <mergeCell ref="AB45:AE46"/>
    <mergeCell ref="B36:E37"/>
    <mergeCell ref="F36:F37"/>
    <mergeCell ref="G36:I37"/>
    <mergeCell ref="B45:D46"/>
    <mergeCell ref="E45:E46"/>
    <mergeCell ref="F45:I46"/>
    <mergeCell ref="M45:O46"/>
    <mergeCell ref="P45:P46"/>
    <mergeCell ref="Q45:T46"/>
    <mergeCell ref="X45:Z46"/>
    <mergeCell ref="AA45:AA46"/>
    <mergeCell ref="B65:E66"/>
    <mergeCell ref="F65:F66"/>
    <mergeCell ref="G65:I66"/>
    <mergeCell ref="B72:E73"/>
    <mergeCell ref="F72:I73"/>
    <mergeCell ref="P72:P73"/>
    <mergeCell ref="Q72:T73"/>
    <mergeCell ref="X72:X73"/>
    <mergeCell ref="Y72:AE73"/>
    <mergeCell ref="B79:J79"/>
    <mergeCell ref="M79:U79"/>
    <mergeCell ref="X79:AF79"/>
    <mergeCell ref="M72:O73"/>
    <mergeCell ref="A86:J86"/>
    <mergeCell ref="B88:E89"/>
    <mergeCell ref="F88:F89"/>
    <mergeCell ref="G88:I89"/>
    <mergeCell ref="A93:J93"/>
    <mergeCell ref="W93:AF93"/>
    <mergeCell ref="B95:E96"/>
    <mergeCell ref="F95:I96"/>
    <mergeCell ref="M95:O96"/>
    <mergeCell ref="P95:P96"/>
    <mergeCell ref="Q95:T96"/>
    <mergeCell ref="X95:Z96"/>
    <mergeCell ref="AA95:AE96"/>
    <mergeCell ref="L93:U93"/>
    <mergeCell ref="A100:J100"/>
    <mergeCell ref="L100:U100"/>
    <mergeCell ref="W100:AF100"/>
    <mergeCell ref="B102:J102"/>
    <mergeCell ref="M102:U102"/>
    <mergeCell ref="X102:AF102"/>
    <mergeCell ref="B109:E110"/>
    <mergeCell ref="F109:F110"/>
    <mergeCell ref="G109:I110"/>
    <mergeCell ref="A118:A119"/>
    <mergeCell ref="B118:E119"/>
    <mergeCell ref="F118:F119"/>
    <mergeCell ref="G118:I119"/>
  </mergeCells>
  <pageMargins left="0.70866141732283472" right="0.70866141732283472" top="0.74803149606299213" bottom="0.74803149606299213" header="0.31496062992125984" footer="0.31496062992125984"/>
  <pageSetup paperSize="8" scale="69" fitToWidth="2" fitToHeight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60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C75"/>
  <sheetViews>
    <sheetView view="pageBreakPreview" zoomScale="85" zoomScaleNormal="85" zoomScaleSheetLayoutView="85" workbookViewId="0">
      <selection activeCell="B6" sqref="B6"/>
    </sheetView>
  </sheetViews>
  <sheetFormatPr defaultRowHeight="13.2"/>
  <cols>
    <col min="1" max="1" width="38.5546875" customWidth="1"/>
    <col min="2" max="2" width="11.5546875" customWidth="1"/>
    <col min="3" max="3" width="10.5546875" customWidth="1"/>
    <col min="4" max="4" width="15" customWidth="1"/>
    <col min="5" max="9" width="10.5546875" customWidth="1"/>
    <col min="11" max="11" width="37.44140625" customWidth="1"/>
    <col min="12" max="19" width="11.109375" customWidth="1"/>
    <col min="21" max="21" width="37.5546875" customWidth="1"/>
    <col min="22" max="22" width="11.44140625" customWidth="1"/>
    <col min="23" max="29" width="10.33203125" customWidth="1"/>
  </cols>
  <sheetData>
    <row r="1" spans="1:29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7" customFormat="1" ht="12.6">
      <c r="D4" s="8"/>
      <c r="O4" s="8"/>
    </row>
    <row r="5" spans="1:29" s="7" customFormat="1" ht="16.2">
      <c r="A5" s="437" t="s">
        <v>181</v>
      </c>
      <c r="D5" s="8"/>
      <c r="O5" s="8"/>
    </row>
    <row r="6" spans="1:29" s="7" customFormat="1" ht="12.6">
      <c r="D6" s="8"/>
      <c r="O6" s="8"/>
    </row>
    <row r="7" spans="1:29" s="7" customFormat="1" ht="15">
      <c r="A7" s="8" t="s">
        <v>182</v>
      </c>
      <c r="D7" s="8"/>
      <c r="F7" s="438"/>
      <c r="O7" s="8"/>
    </row>
    <row r="8" spans="1:29" s="7" customFormat="1" ht="12.6">
      <c r="D8" s="8"/>
      <c r="O8" s="8"/>
    </row>
    <row r="9" spans="1:29" s="7" customFormat="1" ht="12.75" customHeight="1">
      <c r="A9" s="10"/>
      <c r="B9" s="649" t="s">
        <v>3</v>
      </c>
      <c r="C9" s="650"/>
      <c r="D9" s="650"/>
      <c r="E9" s="651"/>
      <c r="F9" s="655" t="s">
        <v>4</v>
      </c>
      <c r="G9" s="657" t="s">
        <v>5</v>
      </c>
      <c r="H9" s="657"/>
      <c r="I9" s="658"/>
      <c r="O9" s="8"/>
    </row>
    <row r="10" spans="1:29" s="7" customFormat="1" ht="12.6">
      <c r="A10" s="11"/>
      <c r="B10" s="652"/>
      <c r="C10" s="653"/>
      <c r="D10" s="653"/>
      <c r="E10" s="654"/>
      <c r="F10" s="656"/>
      <c r="G10" s="647"/>
      <c r="H10" s="647"/>
      <c r="I10" s="648"/>
      <c r="O10" s="8"/>
    </row>
    <row r="11" spans="1:29" s="7" customFormat="1" ht="12.6">
      <c r="A11" s="12"/>
      <c r="B11" s="286">
        <v>2014</v>
      </c>
      <c r="C11" s="458">
        <v>2015</v>
      </c>
      <c r="D11" s="458">
        <v>2016</v>
      </c>
      <c r="E11" s="458">
        <v>2017</v>
      </c>
      <c r="F11" s="458">
        <v>2018</v>
      </c>
      <c r="G11" s="458">
        <v>2019</v>
      </c>
      <c r="H11" s="458">
        <v>2020</v>
      </c>
      <c r="I11" s="458">
        <v>2021</v>
      </c>
      <c r="J11" s="71"/>
      <c r="K11" s="71"/>
      <c r="O11" s="8"/>
    </row>
    <row r="12" spans="1:29" s="7" customFormat="1" ht="12.6">
      <c r="A12" s="446" t="s">
        <v>183</v>
      </c>
      <c r="B12" s="331">
        <f>+B23</f>
        <v>417.4</v>
      </c>
      <c r="C12" s="498"/>
      <c r="D12" s="498"/>
      <c r="E12" s="498"/>
      <c r="F12" s="498"/>
      <c r="G12" s="498"/>
      <c r="H12" s="498"/>
      <c r="I12" s="499"/>
      <c r="J12" s="71"/>
      <c r="K12" s="71"/>
      <c r="O12" s="8"/>
    </row>
    <row r="13" spans="1:29" s="7" customFormat="1" ht="12.6">
      <c r="A13" s="446" t="s">
        <v>184</v>
      </c>
      <c r="B13" s="331">
        <f t="shared" ref="B13:E13" si="0">+B24</f>
        <v>417.4</v>
      </c>
      <c r="C13" s="331">
        <f t="shared" si="0"/>
        <v>394.76731161881429</v>
      </c>
      <c r="D13" s="331">
        <f t="shared" si="0"/>
        <v>381.06901075760589</v>
      </c>
      <c r="E13" s="331">
        <f t="shared" si="0"/>
        <v>378.48487296197698</v>
      </c>
      <c r="F13" s="483">
        <v>371.51931807840413</v>
      </c>
      <c r="G13" s="330">
        <v>357.53754085902807</v>
      </c>
      <c r="H13" s="330">
        <v>350.93709737037034</v>
      </c>
      <c r="I13" s="330">
        <v>344.17639951851856</v>
      </c>
      <c r="J13" s="71"/>
      <c r="K13" s="71"/>
      <c r="O13" s="8"/>
    </row>
    <row r="14" spans="1:29" s="7" customFormat="1" ht="12.6">
      <c r="A14" s="500" t="s">
        <v>185</v>
      </c>
      <c r="B14" s="331">
        <v>440</v>
      </c>
      <c r="C14" s="331">
        <v>429.2</v>
      </c>
      <c r="D14" s="331">
        <v>421.2</v>
      </c>
      <c r="E14" s="331">
        <v>413.2</v>
      </c>
      <c r="F14" s="331">
        <v>405.2</v>
      </c>
      <c r="G14" s="331">
        <v>397.2</v>
      </c>
      <c r="H14" s="331">
        <v>389.2</v>
      </c>
      <c r="I14" s="331">
        <v>381.2</v>
      </c>
      <c r="J14" s="71"/>
      <c r="K14" s="71"/>
      <c r="O14" s="8"/>
    </row>
    <row r="15" spans="1:29">
      <c r="A15" s="446" t="s">
        <v>186</v>
      </c>
      <c r="B15" s="331">
        <f>+$B$12-B13</f>
        <v>0</v>
      </c>
      <c r="C15" s="331">
        <f>+$B$12-C13</f>
        <v>22.632688381185687</v>
      </c>
      <c r="D15" s="331">
        <f t="shared" ref="D15:I15" si="1">+$B$12-D13</f>
        <v>36.330989242394082</v>
      </c>
      <c r="E15" s="331">
        <f t="shared" si="1"/>
        <v>38.915127038023002</v>
      </c>
      <c r="F15" s="331">
        <f t="shared" si="1"/>
        <v>45.880681921595851</v>
      </c>
      <c r="G15" s="331">
        <f t="shared" si="1"/>
        <v>59.862459140971907</v>
      </c>
      <c r="H15" s="331">
        <f t="shared" si="1"/>
        <v>66.462902629629639</v>
      </c>
      <c r="I15" s="331">
        <f t="shared" si="1"/>
        <v>73.223600481481412</v>
      </c>
      <c r="J15" s="501"/>
      <c r="K15" s="501"/>
    </row>
    <row r="16" spans="1:29">
      <c r="A16" s="446" t="s">
        <v>187</v>
      </c>
      <c r="B16" s="447">
        <f>+B15/$B$12</f>
        <v>0</v>
      </c>
      <c r="C16" s="447">
        <f t="shared" ref="C16:I16" si="2">+C15/$B$12</f>
        <v>5.4223019600349039E-2</v>
      </c>
      <c r="D16" s="447">
        <f t="shared" si="2"/>
        <v>8.7041181701950368E-2</v>
      </c>
      <c r="E16" s="447">
        <f t="shared" si="2"/>
        <v>9.323221619075947E-2</v>
      </c>
      <c r="F16" s="447">
        <f t="shared" si="2"/>
        <v>0.10992017710013381</v>
      </c>
      <c r="G16" s="447">
        <f t="shared" si="2"/>
        <v>0.14341748716092936</v>
      </c>
      <c r="H16" s="447">
        <f t="shared" si="2"/>
        <v>0.15923072024348262</v>
      </c>
      <c r="I16" s="447">
        <f t="shared" si="2"/>
        <v>0.17542788807254772</v>
      </c>
      <c r="J16" s="501"/>
      <c r="K16" s="501"/>
    </row>
    <row r="18" spans="1:29" s="7" customFormat="1" ht="15">
      <c r="A18" s="8" t="s">
        <v>188</v>
      </c>
      <c r="D18" s="8"/>
      <c r="F18" s="438"/>
      <c r="K18" s="8" t="s">
        <v>49</v>
      </c>
      <c r="N18" s="8"/>
      <c r="P18" s="438"/>
      <c r="U18" s="8" t="s">
        <v>50</v>
      </c>
      <c r="X18" s="8"/>
      <c r="Z18" s="438"/>
    </row>
    <row r="19" spans="1:29" s="7" customFormat="1" ht="12.6">
      <c r="D19" s="8"/>
      <c r="N19" s="8"/>
      <c r="X19" s="8"/>
    </row>
    <row r="20" spans="1:29" s="7" customFormat="1" ht="12.75" customHeight="1">
      <c r="A20" s="10"/>
      <c r="B20" s="649" t="s">
        <v>3</v>
      </c>
      <c r="C20" s="650"/>
      <c r="D20" s="650"/>
      <c r="E20" s="651"/>
      <c r="F20" s="664" t="s">
        <v>104</v>
      </c>
      <c r="G20" s="657"/>
      <c r="H20" s="657"/>
      <c r="I20" s="658"/>
      <c r="K20" s="10"/>
      <c r="L20" s="649" t="s">
        <v>3</v>
      </c>
      <c r="M20" s="650"/>
      <c r="N20" s="651"/>
      <c r="O20" s="655" t="s">
        <v>4</v>
      </c>
      <c r="P20" s="657" t="s">
        <v>5</v>
      </c>
      <c r="Q20" s="657"/>
      <c r="R20" s="657"/>
      <c r="S20" s="658"/>
      <c r="U20" s="10"/>
      <c r="V20" s="649" t="s">
        <v>3</v>
      </c>
      <c r="W20" s="650"/>
      <c r="X20" s="651"/>
      <c r="Y20" s="663" t="s">
        <v>5</v>
      </c>
      <c r="Z20" s="663"/>
      <c r="AA20" s="663"/>
      <c r="AB20" s="663"/>
      <c r="AC20" s="663"/>
    </row>
    <row r="21" spans="1:29" s="7" customFormat="1" ht="12.6">
      <c r="A21" s="11"/>
      <c r="B21" s="652"/>
      <c r="C21" s="653"/>
      <c r="D21" s="653"/>
      <c r="E21" s="654"/>
      <c r="F21" s="646"/>
      <c r="G21" s="647"/>
      <c r="H21" s="647"/>
      <c r="I21" s="648"/>
      <c r="K21" s="11"/>
      <c r="L21" s="652"/>
      <c r="M21" s="653"/>
      <c r="N21" s="654"/>
      <c r="O21" s="656"/>
      <c r="P21" s="647"/>
      <c r="Q21" s="647"/>
      <c r="R21" s="647"/>
      <c r="S21" s="648"/>
      <c r="U21" s="11"/>
      <c r="V21" s="652"/>
      <c r="W21" s="653"/>
      <c r="X21" s="654"/>
      <c r="Y21" s="663"/>
      <c r="Z21" s="663"/>
      <c r="AA21" s="663"/>
      <c r="AB21" s="663"/>
      <c r="AC21" s="663"/>
    </row>
    <row r="22" spans="1:29" s="7" customFormat="1" ht="12.6">
      <c r="A22" s="12"/>
      <c r="B22" s="286">
        <v>2014</v>
      </c>
      <c r="C22" s="353">
        <v>2015</v>
      </c>
      <c r="D22" s="353">
        <v>2016</v>
      </c>
      <c r="E22" s="354">
        <v>2017</v>
      </c>
      <c r="F22" s="353">
        <v>2018</v>
      </c>
      <c r="G22" s="354">
        <v>2019</v>
      </c>
      <c r="H22" s="353">
        <v>2020</v>
      </c>
      <c r="I22" s="355">
        <v>2021</v>
      </c>
      <c r="K22" s="12"/>
      <c r="L22" s="286">
        <v>2014</v>
      </c>
      <c r="M22" s="353">
        <v>2015</v>
      </c>
      <c r="N22" s="353">
        <v>2016</v>
      </c>
      <c r="O22" s="354">
        <v>2017</v>
      </c>
      <c r="P22" s="353">
        <v>2018</v>
      </c>
      <c r="Q22" s="354">
        <v>2019</v>
      </c>
      <c r="R22" s="353">
        <v>2020</v>
      </c>
      <c r="S22" s="355">
        <v>2021</v>
      </c>
      <c r="U22" s="12"/>
      <c r="V22" s="286">
        <v>2014</v>
      </c>
      <c r="W22" s="353">
        <v>2015</v>
      </c>
      <c r="X22" s="353">
        <v>2016</v>
      </c>
      <c r="Y22" s="354">
        <v>2017</v>
      </c>
      <c r="Z22" s="353">
        <v>2018</v>
      </c>
      <c r="AA22" s="354">
        <v>2019</v>
      </c>
      <c r="AB22" s="353">
        <v>2020</v>
      </c>
      <c r="AC22" s="355">
        <v>2021</v>
      </c>
    </row>
    <row r="23" spans="1:29" s="7" customFormat="1" ht="12.6">
      <c r="A23" s="446" t="s">
        <v>183</v>
      </c>
      <c r="B23" s="331">
        <v>417.4</v>
      </c>
      <c r="C23" s="498"/>
      <c r="D23" s="498"/>
      <c r="E23" s="498"/>
      <c r="F23" s="498"/>
      <c r="G23" s="498"/>
      <c r="H23" s="498"/>
      <c r="I23" s="499"/>
      <c r="K23" s="446"/>
      <c r="L23" s="482"/>
      <c r="M23" s="482"/>
      <c r="N23" s="482"/>
      <c r="O23" s="482"/>
      <c r="P23" s="482"/>
      <c r="Q23" s="482"/>
      <c r="R23" s="482"/>
      <c r="S23" s="482"/>
      <c r="U23" s="446"/>
      <c r="V23" s="482"/>
      <c r="W23" s="482"/>
      <c r="X23" s="482"/>
      <c r="Y23" s="482"/>
      <c r="Z23" s="482"/>
      <c r="AA23" s="482"/>
      <c r="AB23" s="482"/>
      <c r="AC23" s="482"/>
    </row>
    <row r="24" spans="1:29" s="7" customFormat="1" ht="12.6">
      <c r="A24" s="446" t="s">
        <v>184</v>
      </c>
      <c r="B24" s="331">
        <v>417.4</v>
      </c>
      <c r="C24" s="331">
        <v>394.76731161881429</v>
      </c>
      <c r="D24" s="331">
        <v>381.06901075760589</v>
      </c>
      <c r="E24" s="331">
        <v>378.48487296197698</v>
      </c>
      <c r="F24" s="331">
        <v>364.03781821581498</v>
      </c>
      <c r="G24" s="331">
        <v>357.50534796834353</v>
      </c>
      <c r="H24" s="331">
        <v>350.96089760839732</v>
      </c>
      <c r="I24" s="331">
        <v>344.21883654892582</v>
      </c>
      <c r="K24" s="446" t="s">
        <v>184</v>
      </c>
      <c r="L24" s="331">
        <f t="shared" ref="L24:S24" si="3">B13-B24</f>
        <v>0</v>
      </c>
      <c r="M24" s="331">
        <f t="shared" si="3"/>
        <v>0</v>
      </c>
      <c r="N24" s="331">
        <f t="shared" si="3"/>
        <v>0</v>
      </c>
      <c r="O24" s="331">
        <f t="shared" si="3"/>
        <v>0</v>
      </c>
      <c r="P24" s="331">
        <f t="shared" si="3"/>
        <v>7.4814998625891462</v>
      </c>
      <c r="Q24" s="331">
        <f t="shared" si="3"/>
        <v>3.2192890684541453E-2</v>
      </c>
      <c r="R24" s="331">
        <f t="shared" si="3"/>
        <v>-2.3800238026979059E-2</v>
      </c>
      <c r="S24" s="331">
        <f t="shared" si="3"/>
        <v>-4.2437030407256771E-2</v>
      </c>
      <c r="U24" s="446" t="s">
        <v>184</v>
      </c>
      <c r="V24" s="447">
        <f t="shared" ref="V24:AC25" si="4">L24/B24</f>
        <v>0</v>
      </c>
      <c r="W24" s="447">
        <f t="shared" si="4"/>
        <v>0</v>
      </c>
      <c r="X24" s="447">
        <f t="shared" si="4"/>
        <v>0</v>
      </c>
      <c r="Y24" s="447">
        <f t="shared" si="4"/>
        <v>0</v>
      </c>
      <c r="Z24" s="447">
        <f t="shared" si="4"/>
        <v>2.0551435835036894E-2</v>
      </c>
      <c r="AA24" s="447">
        <f t="shared" si="4"/>
        <v>9.0048696802689729E-5</v>
      </c>
      <c r="AB24" s="447">
        <f t="shared" si="4"/>
        <v>-6.7814500672765547E-5</v>
      </c>
      <c r="AC24" s="447">
        <f t="shared" si="4"/>
        <v>-1.2328503237278517E-4</v>
      </c>
    </row>
    <row r="25" spans="1:29">
      <c r="A25" s="446" t="s">
        <v>186</v>
      </c>
      <c r="B25" s="331">
        <v>0</v>
      </c>
      <c r="C25" s="331">
        <v>22.632688381185687</v>
      </c>
      <c r="D25" s="331">
        <v>36.330989242394082</v>
      </c>
      <c r="E25" s="331">
        <v>38.915127038023002</v>
      </c>
      <c r="F25" s="331">
        <v>53.362181784184997</v>
      </c>
      <c r="G25" s="331">
        <v>59.894652031656449</v>
      </c>
      <c r="H25" s="331">
        <v>66.43910239160266</v>
      </c>
      <c r="I25" s="331">
        <v>73.181163451074156</v>
      </c>
      <c r="K25" s="446" t="s">
        <v>186</v>
      </c>
      <c r="L25" s="331">
        <f t="shared" ref="L25:S25" si="5">B15-B25</f>
        <v>0</v>
      </c>
      <c r="M25" s="331">
        <f t="shared" si="5"/>
        <v>0</v>
      </c>
      <c r="N25" s="331">
        <f t="shared" si="5"/>
        <v>0</v>
      </c>
      <c r="O25" s="331">
        <f t="shared" si="5"/>
        <v>0</v>
      </c>
      <c r="P25" s="331">
        <f t="shared" si="5"/>
        <v>-7.4814998625891462</v>
      </c>
      <c r="Q25" s="331">
        <f t="shared" si="5"/>
        <v>-3.2192890684541453E-2</v>
      </c>
      <c r="R25" s="331">
        <f t="shared" si="5"/>
        <v>2.3800238026979059E-2</v>
      </c>
      <c r="S25" s="331">
        <f t="shared" si="5"/>
        <v>4.2437030407256771E-2</v>
      </c>
      <c r="U25" s="446" t="s">
        <v>186</v>
      </c>
      <c r="V25" s="447" t="e">
        <f t="shared" si="4"/>
        <v>#DIV/0!</v>
      </c>
      <c r="W25" s="447">
        <f t="shared" si="4"/>
        <v>0</v>
      </c>
      <c r="X25" s="447">
        <f t="shared" si="4"/>
        <v>0</v>
      </c>
      <c r="Y25" s="447">
        <f t="shared" si="4"/>
        <v>0</v>
      </c>
      <c r="Z25" s="447">
        <f t="shared" si="4"/>
        <v>-0.14020228582194977</v>
      </c>
      <c r="AA25" s="447">
        <f t="shared" si="4"/>
        <v>-5.374919060808028E-4</v>
      </c>
      <c r="AB25" s="447">
        <f t="shared" si="4"/>
        <v>3.5822636324459446E-4</v>
      </c>
      <c r="AC25" s="447">
        <f t="shared" si="4"/>
        <v>5.7989007561526926E-4</v>
      </c>
    </row>
    <row r="26" spans="1:29">
      <c r="A26" s="446" t="s">
        <v>187</v>
      </c>
      <c r="B26" s="502">
        <f>+B25/$B$12</f>
        <v>0</v>
      </c>
      <c r="C26" s="502">
        <f t="shared" ref="C26:I26" si="6">+C25/$B$12</f>
        <v>5.4223019600349039E-2</v>
      </c>
      <c r="D26" s="502">
        <f t="shared" si="6"/>
        <v>8.7041181701950368E-2</v>
      </c>
      <c r="E26" s="502">
        <f t="shared" si="6"/>
        <v>9.323221619075947E-2</v>
      </c>
      <c r="F26" s="502">
        <f t="shared" si="6"/>
        <v>0.1278442304364758</v>
      </c>
      <c r="G26" s="502">
        <f t="shared" si="6"/>
        <v>0.1434946143547112</v>
      </c>
      <c r="H26" s="502">
        <f t="shared" si="6"/>
        <v>0.15917370002779746</v>
      </c>
      <c r="I26" s="502">
        <f t="shared" si="6"/>
        <v>0.17532621813865396</v>
      </c>
    </row>
    <row r="27" spans="1:29" s="7" customFormat="1" ht="15">
      <c r="A27" s="8" t="s">
        <v>189</v>
      </c>
      <c r="D27" s="8"/>
      <c r="F27" s="438"/>
      <c r="K27" s="8" t="s">
        <v>107</v>
      </c>
      <c r="N27" s="8"/>
      <c r="P27" s="438"/>
      <c r="U27" s="8" t="s">
        <v>108</v>
      </c>
      <c r="X27" s="8"/>
      <c r="Z27" s="438"/>
    </row>
    <row r="28" spans="1:29" s="7" customFormat="1" ht="12.6">
      <c r="D28" s="8"/>
      <c r="N28" s="8"/>
      <c r="X28" s="8"/>
    </row>
    <row r="29" spans="1:29" s="7" customFormat="1" ht="37.799999999999997">
      <c r="A29" s="450"/>
      <c r="B29" s="449" t="s">
        <v>106</v>
      </c>
      <c r="H29" s="8"/>
      <c r="K29" s="450"/>
      <c r="L29" s="449" t="s">
        <v>106</v>
      </c>
      <c r="R29" s="8"/>
      <c r="U29" s="450"/>
      <c r="V29" s="449" t="s">
        <v>106</v>
      </c>
      <c r="AB29" s="8"/>
    </row>
    <row r="30" spans="1:29" s="7" customFormat="1" ht="12.6">
      <c r="A30" s="446" t="s">
        <v>186</v>
      </c>
      <c r="B30" s="491">
        <v>0.14000000000000001</v>
      </c>
      <c r="H30" s="8"/>
      <c r="K30" s="446" t="s">
        <v>186</v>
      </c>
      <c r="L30" s="331">
        <f>I15-B12*B30</f>
        <v>14.787600481481412</v>
      </c>
      <c r="R30" s="8"/>
      <c r="U30" s="446" t="s">
        <v>186</v>
      </c>
      <c r="V30" s="447">
        <f>+(I16-B30)</f>
        <v>3.5427888072547709E-2</v>
      </c>
      <c r="AB30" s="8"/>
    </row>
    <row r="33" spans="1:29" s="7" customFormat="1" ht="15">
      <c r="A33" s="8" t="s">
        <v>190</v>
      </c>
      <c r="D33" s="8"/>
      <c r="F33" s="438"/>
      <c r="O33" s="8"/>
    </row>
    <row r="34" spans="1:29" s="7" customFormat="1" ht="12.6">
      <c r="D34" s="8"/>
      <c r="O34" s="8"/>
    </row>
    <row r="35" spans="1:29" s="7" customFormat="1" ht="12.75" customHeight="1">
      <c r="A35" s="10"/>
      <c r="B35" s="649" t="s">
        <v>3</v>
      </c>
      <c r="C35" s="650"/>
      <c r="D35" s="650"/>
      <c r="E35" s="651"/>
      <c r="F35" s="655" t="s">
        <v>4</v>
      </c>
      <c r="G35" s="657" t="s">
        <v>5</v>
      </c>
      <c r="H35" s="657"/>
      <c r="I35" s="658"/>
      <c r="O35" s="8"/>
    </row>
    <row r="36" spans="1:29" s="7" customFormat="1" ht="12.6">
      <c r="A36" s="11"/>
      <c r="B36" s="652"/>
      <c r="C36" s="653"/>
      <c r="D36" s="653"/>
      <c r="E36" s="654"/>
      <c r="F36" s="656"/>
      <c r="G36" s="647"/>
      <c r="H36" s="647"/>
      <c r="I36" s="648"/>
      <c r="O36" s="8"/>
    </row>
    <row r="37" spans="1:29" s="7" customFormat="1" ht="12.6">
      <c r="A37" s="12"/>
      <c r="B37" s="286">
        <v>2014</v>
      </c>
      <c r="C37" s="458">
        <v>2015</v>
      </c>
      <c r="D37" s="458">
        <v>2016</v>
      </c>
      <c r="E37" s="458">
        <v>2017</v>
      </c>
      <c r="F37" s="458">
        <v>2018</v>
      </c>
      <c r="G37" s="458">
        <v>2019</v>
      </c>
      <c r="H37" s="458">
        <v>2020</v>
      </c>
      <c r="I37" s="458">
        <v>2021</v>
      </c>
      <c r="O37" s="8"/>
    </row>
    <row r="38" spans="1:29" s="7" customFormat="1" ht="12.6">
      <c r="A38" s="446" t="s">
        <v>191</v>
      </c>
      <c r="B38" s="331">
        <f>+B49</f>
        <v>398</v>
      </c>
      <c r="C38" s="498"/>
      <c r="D38" s="498"/>
      <c r="E38" s="498"/>
      <c r="F38" s="498"/>
      <c r="G38" s="498"/>
      <c r="H38" s="498"/>
      <c r="I38" s="499"/>
      <c r="O38" s="8"/>
    </row>
    <row r="39" spans="1:29" s="7" customFormat="1" ht="12.6">
      <c r="A39" s="446" t="s">
        <v>192</v>
      </c>
      <c r="B39" s="331">
        <f>+B50</f>
        <v>398</v>
      </c>
      <c r="C39" s="331">
        <f t="shared" ref="C39:E39" si="7">+C50</f>
        <v>376.02950295962228</v>
      </c>
      <c r="D39" s="331">
        <f t="shared" si="7"/>
        <v>362.96317623081893</v>
      </c>
      <c r="E39" s="331">
        <f t="shared" si="7"/>
        <v>357.93139848471799</v>
      </c>
      <c r="F39" s="483">
        <v>350.41237561479409</v>
      </c>
      <c r="G39" s="330">
        <v>337.00043217740006</v>
      </c>
      <c r="H39" s="330">
        <v>330.33412037037039</v>
      </c>
      <c r="I39" s="330">
        <v>323.60221851851855</v>
      </c>
      <c r="O39" s="8"/>
    </row>
    <row r="40" spans="1:29" s="7" customFormat="1" ht="12.6">
      <c r="A40" s="500" t="s">
        <v>193</v>
      </c>
      <c r="B40" s="331">
        <v>415</v>
      </c>
      <c r="C40" s="331">
        <v>403.2</v>
      </c>
      <c r="D40" s="331">
        <v>396.2</v>
      </c>
      <c r="E40" s="331">
        <v>388.2</v>
      </c>
      <c r="F40" s="483">
        <v>380.2</v>
      </c>
      <c r="G40" s="483">
        <v>372.2</v>
      </c>
      <c r="H40" s="483">
        <v>365.2</v>
      </c>
      <c r="I40" s="483">
        <v>357.2</v>
      </c>
      <c r="O40" s="8"/>
    </row>
    <row r="41" spans="1:29">
      <c r="A41" s="446" t="s">
        <v>194</v>
      </c>
      <c r="B41" s="331">
        <f>+$B$38-B39</f>
        <v>0</v>
      </c>
      <c r="C41" s="331">
        <f>+$B$38-C39</f>
        <v>21.970497040377722</v>
      </c>
      <c r="D41" s="331">
        <f t="shared" ref="D41:I41" si="8">+$B$38-D39</f>
        <v>35.036823769181069</v>
      </c>
      <c r="E41" s="331">
        <f t="shared" si="8"/>
        <v>40.068601515282012</v>
      </c>
      <c r="F41" s="331">
        <f t="shared" si="8"/>
        <v>47.587624385205913</v>
      </c>
      <c r="G41" s="331">
        <f t="shared" si="8"/>
        <v>60.999567822599943</v>
      </c>
      <c r="H41" s="331">
        <f t="shared" si="8"/>
        <v>67.665879629629615</v>
      </c>
      <c r="I41" s="331">
        <f t="shared" si="8"/>
        <v>74.397781481481445</v>
      </c>
    </row>
    <row r="42" spans="1:29">
      <c r="A42" s="446" t="s">
        <v>195</v>
      </c>
      <c r="B42" s="447">
        <f>+B41/$B$12</f>
        <v>0</v>
      </c>
      <c r="C42" s="447">
        <f>+C41/$B$38</f>
        <v>5.5202253870295787E-2</v>
      </c>
      <c r="D42" s="447">
        <f t="shared" ref="D42:I42" si="9">+D41/$B$38</f>
        <v>8.8032220525580573E-2</v>
      </c>
      <c r="E42" s="447">
        <f t="shared" si="9"/>
        <v>0.10067487817910054</v>
      </c>
      <c r="F42" s="447">
        <f t="shared" si="9"/>
        <v>0.11956689544021586</v>
      </c>
      <c r="G42" s="447">
        <f t="shared" si="9"/>
        <v>0.153265245785427</v>
      </c>
      <c r="H42" s="447">
        <f t="shared" si="9"/>
        <v>0.17001477293876788</v>
      </c>
      <c r="I42" s="447">
        <f t="shared" si="9"/>
        <v>0.18692909919970213</v>
      </c>
    </row>
    <row r="44" spans="1:29" s="7" customFormat="1" ht="15">
      <c r="A44" s="8" t="s">
        <v>196</v>
      </c>
      <c r="D44" s="8"/>
      <c r="F44" s="438"/>
      <c r="K44" s="8" t="s">
        <v>49</v>
      </c>
      <c r="N44" s="8"/>
      <c r="P44" s="438"/>
      <c r="U44" s="8" t="s">
        <v>50</v>
      </c>
      <c r="X44" s="8"/>
      <c r="Z44" s="438"/>
    </row>
    <row r="45" spans="1:29" s="7" customFormat="1" ht="12.6">
      <c r="D45" s="8"/>
      <c r="N45" s="8"/>
      <c r="X45" s="8"/>
    </row>
    <row r="46" spans="1:29" s="7" customFormat="1" ht="12.75" customHeight="1">
      <c r="A46" s="10"/>
      <c r="B46" s="649" t="s">
        <v>3</v>
      </c>
      <c r="C46" s="650"/>
      <c r="D46" s="650"/>
      <c r="E46" s="651"/>
      <c r="F46" s="664" t="s">
        <v>104</v>
      </c>
      <c r="G46" s="657"/>
      <c r="H46" s="657"/>
      <c r="I46" s="658"/>
      <c r="K46" s="10"/>
      <c r="L46" s="649" t="s">
        <v>3</v>
      </c>
      <c r="M46" s="650"/>
      <c r="N46" s="651"/>
      <c r="O46" s="655" t="s">
        <v>4</v>
      </c>
      <c r="P46" s="657" t="s">
        <v>5</v>
      </c>
      <c r="Q46" s="657"/>
      <c r="R46" s="657"/>
      <c r="S46" s="658"/>
      <c r="U46" s="10"/>
      <c r="V46" s="649" t="s">
        <v>3</v>
      </c>
      <c r="W46" s="650"/>
      <c r="X46" s="651"/>
      <c r="Y46" s="663" t="s">
        <v>5</v>
      </c>
      <c r="Z46" s="663"/>
      <c r="AA46" s="663"/>
      <c r="AB46" s="663"/>
      <c r="AC46" s="663"/>
    </row>
    <row r="47" spans="1:29" s="7" customFormat="1" ht="12.6">
      <c r="A47" s="11"/>
      <c r="B47" s="652"/>
      <c r="C47" s="653"/>
      <c r="D47" s="653"/>
      <c r="E47" s="654"/>
      <c r="F47" s="646"/>
      <c r="G47" s="647"/>
      <c r="H47" s="647"/>
      <c r="I47" s="648"/>
      <c r="K47" s="11"/>
      <c r="L47" s="652"/>
      <c r="M47" s="653"/>
      <c r="N47" s="654"/>
      <c r="O47" s="656"/>
      <c r="P47" s="647"/>
      <c r="Q47" s="647"/>
      <c r="R47" s="647"/>
      <c r="S47" s="648"/>
      <c r="U47" s="11"/>
      <c r="V47" s="652"/>
      <c r="W47" s="653"/>
      <c r="X47" s="654"/>
      <c r="Y47" s="663"/>
      <c r="Z47" s="663"/>
      <c r="AA47" s="663"/>
      <c r="AB47" s="663"/>
      <c r="AC47" s="663"/>
    </row>
    <row r="48" spans="1:29" s="7" customFormat="1" ht="12.6">
      <c r="A48" s="12"/>
      <c r="B48" s="286">
        <v>2014</v>
      </c>
      <c r="C48" s="353">
        <v>2015</v>
      </c>
      <c r="D48" s="353">
        <v>2016</v>
      </c>
      <c r="E48" s="354">
        <v>2017</v>
      </c>
      <c r="F48" s="353">
        <v>2018</v>
      </c>
      <c r="G48" s="354">
        <v>2019</v>
      </c>
      <c r="H48" s="353">
        <v>2020</v>
      </c>
      <c r="I48" s="355">
        <v>2021</v>
      </c>
      <c r="K48" s="12"/>
      <c r="L48" s="286">
        <v>2014</v>
      </c>
      <c r="M48" s="353">
        <v>2015</v>
      </c>
      <c r="N48" s="353">
        <v>2016</v>
      </c>
      <c r="O48" s="354">
        <v>2017</v>
      </c>
      <c r="P48" s="353">
        <v>2018</v>
      </c>
      <c r="Q48" s="354">
        <v>2019</v>
      </c>
      <c r="R48" s="353">
        <v>2020</v>
      </c>
      <c r="S48" s="355">
        <v>2021</v>
      </c>
      <c r="U48" s="12"/>
      <c r="V48" s="286">
        <v>2014</v>
      </c>
      <c r="W48" s="353">
        <v>2015</v>
      </c>
      <c r="X48" s="353">
        <v>2016</v>
      </c>
      <c r="Y48" s="354">
        <v>2017</v>
      </c>
      <c r="Z48" s="353">
        <v>2018</v>
      </c>
      <c r="AA48" s="354">
        <v>2019</v>
      </c>
      <c r="AB48" s="353">
        <v>2020</v>
      </c>
      <c r="AC48" s="355">
        <v>2021</v>
      </c>
    </row>
    <row r="49" spans="1:29" s="7" customFormat="1" ht="12.6">
      <c r="A49" s="446" t="s">
        <v>191</v>
      </c>
      <c r="B49" s="505">
        <v>398</v>
      </c>
      <c r="C49" s="503"/>
      <c r="D49" s="503"/>
      <c r="E49" s="503"/>
      <c r="F49" s="503"/>
      <c r="G49" s="503"/>
      <c r="H49" s="503"/>
      <c r="I49" s="504"/>
      <c r="K49" s="446"/>
      <c r="L49" s="482"/>
      <c r="M49" s="482"/>
      <c r="N49" s="482"/>
      <c r="O49" s="482"/>
      <c r="P49" s="482"/>
      <c r="Q49" s="482"/>
      <c r="R49" s="482"/>
      <c r="S49" s="482"/>
      <c r="U49" s="446"/>
      <c r="V49" s="482"/>
      <c r="W49" s="482"/>
      <c r="X49" s="482"/>
      <c r="Y49" s="482"/>
      <c r="Z49" s="482"/>
      <c r="AA49" s="482"/>
      <c r="AB49" s="482"/>
      <c r="AC49" s="482"/>
    </row>
    <row r="50" spans="1:29" s="7" customFormat="1" ht="12.6">
      <c r="A50" s="446" t="s">
        <v>192</v>
      </c>
      <c r="B50" s="505">
        <v>398</v>
      </c>
      <c r="C50" s="505">
        <v>376.02950295962228</v>
      </c>
      <c r="D50" s="331">
        <v>362.96317623081893</v>
      </c>
      <c r="E50" s="331">
        <v>357.93139848471799</v>
      </c>
      <c r="F50" s="331">
        <v>345.426838215815</v>
      </c>
      <c r="G50" s="331">
        <v>338.84522696834352</v>
      </c>
      <c r="H50" s="331">
        <v>332.19779960839736</v>
      </c>
      <c r="I50" s="331">
        <v>325.48453454892581</v>
      </c>
      <c r="K50" s="446" t="s">
        <v>192</v>
      </c>
      <c r="L50" s="331">
        <f t="shared" ref="L50:S50" si="10">B39-B50</f>
        <v>0</v>
      </c>
      <c r="M50" s="331">
        <f t="shared" si="10"/>
        <v>0</v>
      </c>
      <c r="N50" s="331">
        <f t="shared" si="10"/>
        <v>0</v>
      </c>
      <c r="O50" s="331">
        <f t="shared" si="10"/>
        <v>0</v>
      </c>
      <c r="P50" s="331">
        <f t="shared" si="10"/>
        <v>4.9855373989790905</v>
      </c>
      <c r="Q50" s="331">
        <f t="shared" si="10"/>
        <v>-1.8447947909434674</v>
      </c>
      <c r="R50" s="331">
        <f t="shared" si="10"/>
        <v>-1.8636792380269753</v>
      </c>
      <c r="S50" s="331">
        <f t="shared" si="10"/>
        <v>-1.882316030407253</v>
      </c>
      <c r="U50" s="446" t="s">
        <v>192</v>
      </c>
      <c r="V50" s="447">
        <f t="shared" ref="V50:AC51" si="11">L50/B50</f>
        <v>0</v>
      </c>
      <c r="W50" s="447">
        <f t="shared" si="11"/>
        <v>0</v>
      </c>
      <c r="X50" s="447">
        <f t="shared" si="11"/>
        <v>0</v>
      </c>
      <c r="Y50" s="447">
        <f t="shared" si="11"/>
        <v>0</v>
      </c>
      <c r="Z50" s="447">
        <f t="shared" si="11"/>
        <v>1.4432976385767217E-2</v>
      </c>
      <c r="AA50" s="447">
        <f t="shared" si="11"/>
        <v>-5.444358202855301E-3</v>
      </c>
      <c r="AB50" s="447">
        <f t="shared" si="11"/>
        <v>-5.6101492551242802E-3</v>
      </c>
      <c r="AC50" s="447">
        <f t="shared" si="11"/>
        <v>-5.7831197203144198E-3</v>
      </c>
    </row>
    <row r="51" spans="1:29">
      <c r="A51" s="446" t="s">
        <v>194</v>
      </c>
      <c r="B51" s="331">
        <v>0</v>
      </c>
      <c r="C51" s="331">
        <v>21.970497040377722</v>
      </c>
      <c r="D51" s="331">
        <v>35.036823769181069</v>
      </c>
      <c r="E51" s="331">
        <v>40.068601515282012</v>
      </c>
      <c r="F51" s="331">
        <v>52.573161784185004</v>
      </c>
      <c r="G51" s="331">
        <v>59.154773031656475</v>
      </c>
      <c r="H51" s="331">
        <v>65.802200391602639</v>
      </c>
      <c r="I51" s="331">
        <v>72.515465451074192</v>
      </c>
      <c r="K51" s="446" t="s">
        <v>194</v>
      </c>
      <c r="L51" s="331">
        <f t="shared" ref="L51:S51" si="12">B41-B51</f>
        <v>0</v>
      </c>
      <c r="M51" s="331">
        <f t="shared" si="12"/>
        <v>0</v>
      </c>
      <c r="N51" s="331">
        <f t="shared" si="12"/>
        <v>0</v>
      </c>
      <c r="O51" s="331">
        <f t="shared" si="12"/>
        <v>0</v>
      </c>
      <c r="P51" s="331">
        <f t="shared" si="12"/>
        <v>-4.9855373989790905</v>
      </c>
      <c r="Q51" s="331">
        <f t="shared" si="12"/>
        <v>1.8447947909434674</v>
      </c>
      <c r="R51" s="331">
        <f t="shared" si="12"/>
        <v>1.8636792380269753</v>
      </c>
      <c r="S51" s="331">
        <f t="shared" si="12"/>
        <v>1.882316030407253</v>
      </c>
      <c r="U51" s="446" t="s">
        <v>194</v>
      </c>
      <c r="V51" s="447" t="e">
        <f t="shared" si="11"/>
        <v>#DIV/0!</v>
      </c>
      <c r="W51" s="447">
        <f t="shared" si="11"/>
        <v>0</v>
      </c>
      <c r="X51" s="447">
        <f t="shared" si="11"/>
        <v>0</v>
      </c>
      <c r="Y51" s="447">
        <f t="shared" si="11"/>
        <v>0</v>
      </c>
      <c r="Z51" s="447">
        <f t="shared" si="11"/>
        <v>-9.4830465389259391E-2</v>
      </c>
      <c r="AA51" s="447">
        <f t="shared" si="11"/>
        <v>3.1185899233460532E-2</v>
      </c>
      <c r="AB51" s="447">
        <f t="shared" si="11"/>
        <v>2.8322445555556363E-2</v>
      </c>
      <c r="AC51" s="447">
        <f t="shared" si="11"/>
        <v>2.5957442577228467E-2</v>
      </c>
    </row>
    <row r="52" spans="1:29">
      <c r="A52" s="446" t="s">
        <v>195</v>
      </c>
      <c r="B52" s="502">
        <f>+B51/$B$12</f>
        <v>0</v>
      </c>
      <c r="C52" s="502">
        <f>+C51/$B$38</f>
        <v>5.5202253870295787E-2</v>
      </c>
      <c r="D52" s="502">
        <f t="shared" ref="D52:I52" si="13">+D51/$B$38</f>
        <v>8.8032220525580573E-2</v>
      </c>
      <c r="E52" s="502">
        <f t="shared" si="13"/>
        <v>0.10067487817910054</v>
      </c>
      <c r="F52" s="502">
        <f t="shared" si="13"/>
        <v>0.13209337131704774</v>
      </c>
      <c r="G52" s="502">
        <f t="shared" si="13"/>
        <v>0.14863008299411173</v>
      </c>
      <c r="H52" s="502">
        <f t="shared" si="13"/>
        <v>0.16533216178794632</v>
      </c>
      <c r="I52" s="502">
        <f t="shared" si="13"/>
        <v>0.18219966193737233</v>
      </c>
    </row>
    <row r="53" spans="1:29" s="7" customFormat="1" ht="15">
      <c r="A53" s="8" t="s">
        <v>197</v>
      </c>
      <c r="D53" s="8"/>
      <c r="F53" s="438"/>
      <c r="K53" s="8" t="s">
        <v>107</v>
      </c>
      <c r="N53" s="8"/>
      <c r="P53" s="438"/>
      <c r="U53" s="8" t="s">
        <v>108</v>
      </c>
      <c r="X53" s="8"/>
      <c r="Z53" s="438"/>
    </row>
    <row r="54" spans="1:29" s="7" customFormat="1" ht="12.6">
      <c r="D54" s="8"/>
      <c r="N54" s="8"/>
      <c r="X54" s="8"/>
    </row>
    <row r="55" spans="1:29" s="7" customFormat="1" ht="37.799999999999997">
      <c r="A55" s="450"/>
      <c r="B55" s="449" t="s">
        <v>106</v>
      </c>
      <c r="H55" s="8"/>
      <c r="K55" s="450"/>
      <c r="L55" s="449" t="s">
        <v>106</v>
      </c>
      <c r="R55" s="8"/>
      <c r="U55" s="450"/>
      <c r="V55" s="449" t="s">
        <v>106</v>
      </c>
      <c r="AB55" s="8"/>
    </row>
    <row r="56" spans="1:29" s="7" customFormat="1" ht="12.6">
      <c r="A56" s="446" t="s">
        <v>194</v>
      </c>
      <c r="B56" s="491">
        <v>0.14699999999999999</v>
      </c>
      <c r="D56" s="506"/>
      <c r="H56" s="8"/>
      <c r="K56" s="446" t="s">
        <v>194</v>
      </c>
      <c r="L56" s="331">
        <f>I41-B38*B56</f>
        <v>15.891781481481445</v>
      </c>
      <c r="R56" s="8"/>
      <c r="U56" s="446" t="s">
        <v>194</v>
      </c>
      <c r="V56" s="447">
        <f>+(I42-B56)</f>
        <v>3.9929099199702139E-2</v>
      </c>
      <c r="AB56" s="8"/>
    </row>
    <row r="57" spans="1:29">
      <c r="B57" s="507"/>
    </row>
    <row r="67" spans="7:7">
      <c r="G67" s="508"/>
    </row>
    <row r="68" spans="7:7">
      <c r="G68" s="508"/>
    </row>
    <row r="69" spans="7:7">
      <c r="G69" s="508"/>
    </row>
    <row r="70" spans="7:7">
      <c r="G70" s="508"/>
    </row>
    <row r="71" spans="7:7">
      <c r="G71" s="508"/>
    </row>
    <row r="72" spans="7:7">
      <c r="G72" s="508"/>
    </row>
    <row r="73" spans="7:7">
      <c r="G73" s="508"/>
    </row>
    <row r="74" spans="7:7">
      <c r="G74" s="508"/>
    </row>
    <row r="75" spans="7:7">
      <c r="G75" s="508"/>
    </row>
  </sheetData>
  <mergeCells count="20">
    <mergeCell ref="B9:E10"/>
    <mergeCell ref="F9:F10"/>
    <mergeCell ref="G9:I10"/>
    <mergeCell ref="B20:E21"/>
    <mergeCell ref="F20:I21"/>
    <mergeCell ref="O20:O21"/>
    <mergeCell ref="P20:S21"/>
    <mergeCell ref="V20:X21"/>
    <mergeCell ref="Y20:AC21"/>
    <mergeCell ref="B35:E36"/>
    <mergeCell ref="F35:F36"/>
    <mergeCell ref="G35:I36"/>
    <mergeCell ref="L20:N21"/>
    <mergeCell ref="Y46:AC47"/>
    <mergeCell ref="B46:E47"/>
    <mergeCell ref="F46:I47"/>
    <mergeCell ref="L46:N47"/>
    <mergeCell ref="O46:O47"/>
    <mergeCell ref="P46:S47"/>
    <mergeCell ref="V46:X47"/>
  </mergeCells>
  <pageMargins left="0.70866141732283472" right="0.70866141732283472" top="0.74803149606299213" bottom="0.74803149606299213" header="0.31496062992125984" footer="0.31496062992125984"/>
  <pageSetup paperSize="8" scale="92" fitToWidth="2" orientation="landscape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N261"/>
  <sheetViews>
    <sheetView view="pageBreakPreview" zoomScale="85" zoomScaleNormal="70" zoomScaleSheetLayoutView="85" workbookViewId="0">
      <selection activeCell="L20" sqref="L20"/>
    </sheetView>
  </sheetViews>
  <sheetFormatPr defaultColWidth="9.109375" defaultRowHeight="12.6"/>
  <cols>
    <col min="1" max="1" width="11.33203125" style="510" customWidth="1"/>
    <col min="2" max="4" width="9.109375" style="510"/>
    <col min="5" max="5" width="10.44140625" style="510" customWidth="1"/>
    <col min="6" max="6" width="8" style="510" customWidth="1"/>
    <col min="7" max="8" width="9.109375" style="510"/>
    <col min="9" max="9" width="12.6640625" style="510" customWidth="1"/>
    <col min="10" max="10" width="17.88671875" style="510" customWidth="1"/>
    <col min="11" max="11" width="19.5546875" style="510" customWidth="1"/>
    <col min="12" max="12" width="28.5546875" style="510" customWidth="1"/>
    <col min="13" max="16384" width="9.109375" style="510"/>
  </cols>
  <sheetData>
    <row r="1" spans="1:12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</row>
    <row r="2" spans="1:12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</row>
    <row r="3" spans="1:12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2">
      <c r="A4" s="509"/>
      <c r="B4" s="509"/>
      <c r="C4" s="509"/>
      <c r="D4" s="509"/>
      <c r="E4" s="509"/>
      <c r="F4" s="509"/>
      <c r="G4" s="509"/>
      <c r="H4" s="509"/>
      <c r="I4" s="509"/>
    </row>
    <row r="5" spans="1:12" ht="19.8">
      <c r="A5" s="511" t="s">
        <v>198</v>
      </c>
      <c r="B5" s="509"/>
      <c r="C5" s="509"/>
      <c r="D5" s="509"/>
      <c r="E5" s="509"/>
      <c r="F5" s="509"/>
      <c r="G5" s="509"/>
      <c r="H5" s="509"/>
      <c r="I5" s="509"/>
    </row>
    <row r="6" spans="1:12">
      <c r="A6" s="509"/>
      <c r="B6" s="509"/>
      <c r="C6" s="509"/>
      <c r="D6" s="509"/>
      <c r="E6" s="509"/>
      <c r="F6" s="509"/>
      <c r="G6" s="509"/>
      <c r="H6" s="509"/>
      <c r="I6" s="509"/>
    </row>
    <row r="7" spans="1:12">
      <c r="A7" s="509"/>
      <c r="B7" s="509"/>
      <c r="C7" s="509"/>
      <c r="D7" s="509"/>
      <c r="E7" s="509"/>
      <c r="F7" s="509"/>
      <c r="G7" s="509"/>
      <c r="H7" s="509"/>
      <c r="I7" s="509"/>
    </row>
    <row r="8" spans="1:12">
      <c r="A8" s="512" t="s">
        <v>199</v>
      </c>
      <c r="B8" s="513"/>
      <c r="C8" s="513"/>
      <c r="D8" s="513"/>
      <c r="E8" s="513"/>
      <c r="F8" s="513"/>
      <c r="G8" s="513"/>
      <c r="H8" s="513"/>
      <c r="I8" s="513"/>
      <c r="J8" s="513"/>
    </row>
    <row r="9" spans="1:12">
      <c r="A9" s="514" t="s">
        <v>200</v>
      </c>
      <c r="B9" s="515"/>
      <c r="C9" s="515"/>
      <c r="D9" s="515"/>
      <c r="E9" s="515"/>
      <c r="F9" s="515"/>
      <c r="G9" s="515"/>
      <c r="H9" s="515"/>
      <c r="I9" s="515"/>
      <c r="J9" s="516"/>
      <c r="L9" s="517" t="s">
        <v>201</v>
      </c>
    </row>
    <row r="10" spans="1:12">
      <c r="A10" s="518" t="s">
        <v>202</v>
      </c>
      <c r="B10" s="519"/>
      <c r="C10" s="519"/>
      <c r="D10" s="519"/>
      <c r="E10" s="519"/>
      <c r="F10" s="519"/>
      <c r="G10" s="519"/>
      <c r="H10" s="519"/>
      <c r="I10" s="520"/>
      <c r="J10" s="521">
        <v>8004</v>
      </c>
      <c r="K10" s="522"/>
    </row>
    <row r="11" spans="1:12">
      <c r="A11" s="523" t="s">
        <v>203</v>
      </c>
      <c r="B11" s="524"/>
      <c r="C11" s="524"/>
      <c r="D11" s="524"/>
      <c r="E11" s="524"/>
      <c r="F11" s="524"/>
      <c r="G11" s="524"/>
      <c r="H11" s="524"/>
      <c r="I11" s="525"/>
      <c r="J11" s="526">
        <v>465</v>
      </c>
    </row>
    <row r="12" spans="1:12">
      <c r="A12" s="523" t="s">
        <v>204</v>
      </c>
      <c r="B12" s="524"/>
      <c r="C12" s="524"/>
      <c r="D12" s="524"/>
      <c r="E12" s="524"/>
      <c r="F12" s="524"/>
      <c r="G12" s="524"/>
      <c r="H12" s="524"/>
      <c r="I12" s="525"/>
      <c r="J12" s="526">
        <v>117</v>
      </c>
    </row>
    <row r="13" spans="1:12">
      <c r="A13" s="523" t="s">
        <v>205</v>
      </c>
      <c r="B13" s="524"/>
      <c r="C13" s="524"/>
      <c r="D13" s="524"/>
      <c r="E13" s="524"/>
      <c r="F13" s="524"/>
      <c r="G13" s="524"/>
      <c r="H13" s="524"/>
      <c r="I13" s="525"/>
      <c r="J13" s="526">
        <v>465</v>
      </c>
      <c r="L13" s="521">
        <v>496</v>
      </c>
    </row>
    <row r="14" spans="1:12">
      <c r="A14" s="523" t="s">
        <v>206</v>
      </c>
      <c r="B14" s="524"/>
      <c r="C14" s="524"/>
      <c r="D14" s="524"/>
      <c r="E14" s="524"/>
      <c r="F14" s="524"/>
      <c r="G14" s="524"/>
      <c r="H14" s="524"/>
      <c r="I14" s="525"/>
      <c r="J14" s="527">
        <f>J13*30</f>
        <v>13950</v>
      </c>
      <c r="L14" s="528">
        <v>21434</v>
      </c>
    </row>
    <row r="15" spans="1:12">
      <c r="A15" s="523" t="s">
        <v>207</v>
      </c>
      <c r="B15" s="524"/>
      <c r="C15" s="524"/>
      <c r="D15" s="524"/>
      <c r="E15" s="524"/>
      <c r="F15" s="524"/>
      <c r="G15" s="524"/>
      <c r="H15" s="524"/>
      <c r="I15" s="525"/>
      <c r="J15" s="526">
        <v>282</v>
      </c>
      <c r="L15" s="521">
        <v>139</v>
      </c>
    </row>
    <row r="16" spans="1:12">
      <c r="A16" s="523" t="s">
        <v>208</v>
      </c>
      <c r="B16" s="524"/>
      <c r="C16" s="524"/>
      <c r="D16" s="524"/>
      <c r="E16" s="524"/>
      <c r="F16" s="524"/>
      <c r="G16" s="524"/>
      <c r="H16" s="524"/>
      <c r="I16" s="525"/>
      <c r="J16" s="529">
        <f>J15*30</f>
        <v>8460</v>
      </c>
      <c r="L16" s="528">
        <v>4170</v>
      </c>
    </row>
    <row r="17" spans="1:12">
      <c r="A17" s="523" t="s">
        <v>209</v>
      </c>
      <c r="B17" s="524"/>
      <c r="C17" s="524"/>
      <c r="D17" s="524"/>
      <c r="E17" s="524"/>
      <c r="F17" s="524"/>
      <c r="G17" s="524"/>
      <c r="H17" s="524"/>
      <c r="I17" s="525"/>
      <c r="J17" s="526">
        <v>0</v>
      </c>
    </row>
    <row r="18" spans="1:12">
      <c r="A18" s="530" t="s">
        <v>210</v>
      </c>
      <c r="B18" s="524"/>
      <c r="C18" s="524"/>
      <c r="D18" s="524"/>
      <c r="E18" s="524"/>
      <c r="F18" s="524"/>
      <c r="G18" s="524"/>
      <c r="H18" s="524"/>
      <c r="I18" s="525"/>
      <c r="J18" s="531">
        <f>J14+J16</f>
        <v>22410</v>
      </c>
      <c r="L18" s="532">
        <f>L14+L16</f>
        <v>25604</v>
      </c>
    </row>
    <row r="19" spans="1:12">
      <c r="A19" s="533" t="s">
        <v>211</v>
      </c>
      <c r="B19" s="519"/>
      <c r="C19" s="519"/>
      <c r="D19" s="519"/>
      <c r="E19" s="519"/>
      <c r="F19" s="519"/>
      <c r="G19" s="519"/>
      <c r="H19" s="519"/>
      <c r="I19" s="520"/>
      <c r="J19" s="534">
        <f>1-(J11+J12)/(J10)</f>
        <v>0.92728635682158922</v>
      </c>
      <c r="K19" s="535"/>
    </row>
    <row r="20" spans="1:12">
      <c r="A20" s="509"/>
      <c r="B20" s="509"/>
      <c r="C20" s="509"/>
      <c r="D20" s="509"/>
      <c r="E20" s="509"/>
      <c r="F20" s="509"/>
      <c r="G20" s="509"/>
      <c r="H20" s="509"/>
      <c r="I20" s="509"/>
      <c r="J20" s="509"/>
      <c r="K20" s="536"/>
    </row>
    <row r="21" spans="1:12">
      <c r="A21" s="514" t="s">
        <v>212</v>
      </c>
      <c r="B21" s="515"/>
      <c r="C21" s="515"/>
      <c r="D21" s="515"/>
      <c r="E21" s="515"/>
      <c r="F21" s="515"/>
      <c r="G21" s="515"/>
      <c r="H21" s="515"/>
      <c r="I21" s="515"/>
      <c r="J21" s="516"/>
    </row>
    <row r="22" spans="1:12">
      <c r="A22" s="518" t="s">
        <v>213</v>
      </c>
      <c r="B22" s="519"/>
      <c r="C22" s="519"/>
      <c r="D22" s="519"/>
      <c r="E22" s="519"/>
      <c r="F22" s="519"/>
      <c r="G22" s="519"/>
      <c r="H22" s="519"/>
      <c r="I22" s="520"/>
      <c r="J22" s="521">
        <v>299</v>
      </c>
      <c r="K22" s="522"/>
    </row>
    <row r="23" spans="1:12">
      <c r="A23" s="523" t="s">
        <v>203</v>
      </c>
      <c r="B23" s="524"/>
      <c r="C23" s="524"/>
      <c r="D23" s="524"/>
      <c r="E23" s="524"/>
      <c r="F23" s="524"/>
      <c r="G23" s="524"/>
      <c r="H23" s="524"/>
      <c r="I23" s="525"/>
      <c r="J23" s="526">
        <v>21</v>
      </c>
    </row>
    <row r="24" spans="1:12">
      <c r="A24" s="523" t="s">
        <v>204</v>
      </c>
      <c r="B24" s="524"/>
      <c r="C24" s="524"/>
      <c r="D24" s="524"/>
      <c r="E24" s="524"/>
      <c r="F24" s="524"/>
      <c r="G24" s="524"/>
      <c r="H24" s="524"/>
      <c r="I24" s="525"/>
      <c r="J24" s="526">
        <v>10</v>
      </c>
    </row>
    <row r="25" spans="1:12">
      <c r="A25" s="523" t="s">
        <v>205</v>
      </c>
      <c r="B25" s="524"/>
      <c r="C25" s="524"/>
      <c r="D25" s="524"/>
      <c r="E25" s="524"/>
      <c r="F25" s="524"/>
      <c r="G25" s="524"/>
      <c r="H25" s="524"/>
      <c r="I25" s="525"/>
      <c r="J25" s="526">
        <v>21</v>
      </c>
      <c r="L25" s="521">
        <v>16</v>
      </c>
    </row>
    <row r="26" spans="1:12">
      <c r="A26" s="523" t="s">
        <v>206</v>
      </c>
      <c r="B26" s="524"/>
      <c r="C26" s="524"/>
      <c r="D26" s="524"/>
      <c r="E26" s="524"/>
      <c r="F26" s="524"/>
      <c r="G26" s="524"/>
      <c r="H26" s="524"/>
      <c r="I26" s="525"/>
      <c r="J26" s="527">
        <f>J25*50</f>
        <v>1050</v>
      </c>
      <c r="L26" s="528">
        <v>1150</v>
      </c>
    </row>
    <row r="27" spans="1:12">
      <c r="A27" s="523" t="s">
        <v>207</v>
      </c>
      <c r="B27" s="524"/>
      <c r="C27" s="524"/>
      <c r="D27" s="524"/>
      <c r="E27" s="524"/>
      <c r="F27" s="524"/>
      <c r="G27" s="524"/>
      <c r="H27" s="524"/>
      <c r="I27" s="525"/>
      <c r="J27" s="526">
        <v>29</v>
      </c>
      <c r="L27" s="521">
        <v>6</v>
      </c>
    </row>
    <row r="28" spans="1:12">
      <c r="A28" s="523" t="s">
        <v>208</v>
      </c>
      <c r="B28" s="524"/>
      <c r="C28" s="524"/>
      <c r="D28" s="524"/>
      <c r="E28" s="524"/>
      <c r="F28" s="524"/>
      <c r="G28" s="524"/>
      <c r="H28" s="524"/>
      <c r="I28" s="525"/>
      <c r="J28" s="529">
        <f>J27*50</f>
        <v>1450</v>
      </c>
      <c r="L28" s="528">
        <v>300</v>
      </c>
    </row>
    <row r="29" spans="1:12">
      <c r="A29" s="523" t="s">
        <v>209</v>
      </c>
      <c r="B29" s="524"/>
      <c r="C29" s="524"/>
      <c r="D29" s="524"/>
      <c r="E29" s="524"/>
      <c r="F29" s="524"/>
      <c r="G29" s="524"/>
      <c r="H29" s="524"/>
      <c r="I29" s="525"/>
      <c r="J29" s="526">
        <v>0</v>
      </c>
    </row>
    <row r="30" spans="1:12">
      <c r="A30" s="530" t="s">
        <v>214</v>
      </c>
      <c r="B30" s="524"/>
      <c r="C30" s="524"/>
      <c r="D30" s="524"/>
      <c r="E30" s="524"/>
      <c r="F30" s="524"/>
      <c r="G30" s="524"/>
      <c r="H30" s="524"/>
      <c r="I30" s="525"/>
      <c r="J30" s="531">
        <f>J26+J28</f>
        <v>2500</v>
      </c>
      <c r="L30" s="532">
        <f>L26+L28</f>
        <v>1450</v>
      </c>
    </row>
    <row r="31" spans="1:12">
      <c r="A31" s="533" t="s">
        <v>215</v>
      </c>
      <c r="B31" s="524"/>
      <c r="C31" s="524"/>
      <c r="D31" s="524"/>
      <c r="E31" s="524"/>
      <c r="F31" s="524"/>
      <c r="G31" s="524"/>
      <c r="H31" s="524"/>
      <c r="I31" s="525"/>
      <c r="J31" s="534">
        <f>1-(J23+J24)/(J22)</f>
        <v>0.89632107023411367</v>
      </c>
      <c r="K31" s="537"/>
    </row>
    <row r="32" spans="1:12">
      <c r="A32" s="530" t="s">
        <v>216</v>
      </c>
      <c r="B32" s="538"/>
      <c r="C32" s="538"/>
      <c r="D32" s="538"/>
      <c r="E32" s="538"/>
      <c r="F32" s="538"/>
      <c r="G32" s="538"/>
      <c r="H32" s="538"/>
      <c r="I32" s="539"/>
      <c r="J32" s="531">
        <f>SUM(J30,J18)</f>
        <v>24910</v>
      </c>
      <c r="L32" s="532">
        <f>SUM(L30,L18)</f>
        <v>27054</v>
      </c>
    </row>
    <row r="33" spans="1:12">
      <c r="A33" s="533" t="s">
        <v>217</v>
      </c>
      <c r="B33" s="538"/>
      <c r="C33" s="538"/>
      <c r="D33" s="538"/>
      <c r="E33" s="538"/>
      <c r="F33" s="538"/>
      <c r="G33" s="538"/>
      <c r="H33" s="538"/>
      <c r="I33" s="539"/>
      <c r="J33" s="534">
        <f>1-(J23+J24+J11+J12)/(J22+J10)</f>
        <v>0.92617126339877154</v>
      </c>
    </row>
    <row r="34" spans="1:12">
      <c r="A34" s="509"/>
      <c r="B34" s="509"/>
      <c r="C34" s="509"/>
      <c r="D34" s="509"/>
      <c r="E34" s="509"/>
      <c r="F34" s="509"/>
      <c r="G34" s="509"/>
      <c r="H34" s="509"/>
      <c r="I34" s="509"/>
      <c r="J34" s="509"/>
    </row>
    <row r="35" spans="1:12">
      <c r="A35" s="540" t="s">
        <v>218</v>
      </c>
      <c r="B35" s="513"/>
      <c r="C35" s="513"/>
      <c r="D35" s="513"/>
      <c r="E35" s="513"/>
      <c r="F35" s="513"/>
      <c r="G35" s="513"/>
      <c r="H35" s="513"/>
      <c r="I35" s="513"/>
      <c r="J35" s="513"/>
    </row>
    <row r="36" spans="1:12">
      <c r="A36" s="514" t="s">
        <v>200</v>
      </c>
      <c r="B36" s="515"/>
      <c r="C36" s="515"/>
      <c r="D36" s="515"/>
      <c r="E36" s="515"/>
      <c r="F36" s="515"/>
      <c r="G36" s="515"/>
      <c r="H36" s="515"/>
      <c r="I36" s="515"/>
      <c r="J36" s="516"/>
      <c r="L36" s="517" t="s">
        <v>201</v>
      </c>
    </row>
    <row r="37" spans="1:12">
      <c r="A37" s="541" t="s">
        <v>219</v>
      </c>
      <c r="B37" s="541"/>
      <c r="C37" s="541"/>
      <c r="D37" s="541"/>
      <c r="E37" s="541"/>
      <c r="F37" s="541"/>
      <c r="G37" s="541"/>
      <c r="H37" s="541"/>
      <c r="I37" s="541"/>
      <c r="J37" s="526">
        <v>8908</v>
      </c>
    </row>
    <row r="38" spans="1:12">
      <c r="A38" s="523" t="s">
        <v>220</v>
      </c>
      <c r="B38" s="524"/>
      <c r="C38" s="524"/>
      <c r="D38" s="524"/>
      <c r="E38" s="524"/>
      <c r="F38" s="524"/>
      <c r="G38" s="524"/>
      <c r="H38" s="524"/>
      <c r="I38" s="525"/>
      <c r="J38" s="526">
        <v>190</v>
      </c>
    </row>
    <row r="39" spans="1:12">
      <c r="A39" s="523" t="s">
        <v>221</v>
      </c>
      <c r="B39" s="524"/>
      <c r="C39" s="524"/>
      <c r="D39" s="524"/>
      <c r="E39" s="524"/>
      <c r="F39" s="524"/>
      <c r="G39" s="524"/>
      <c r="H39" s="524"/>
      <c r="I39" s="525"/>
      <c r="J39" s="526">
        <v>41</v>
      </c>
    </row>
    <row r="40" spans="1:12">
      <c r="A40" s="523" t="s">
        <v>222</v>
      </c>
      <c r="B40" s="524"/>
      <c r="C40" s="524"/>
      <c r="D40" s="524"/>
      <c r="E40" s="524"/>
      <c r="F40" s="524"/>
      <c r="G40" s="524"/>
      <c r="H40" s="524"/>
      <c r="I40" s="525"/>
      <c r="J40" s="526">
        <v>190</v>
      </c>
      <c r="L40" s="521">
        <v>203</v>
      </c>
    </row>
    <row r="41" spans="1:12">
      <c r="A41" s="523" t="s">
        <v>223</v>
      </c>
      <c r="B41" s="524"/>
      <c r="C41" s="524"/>
      <c r="D41" s="524"/>
      <c r="E41" s="524"/>
      <c r="F41" s="524"/>
      <c r="G41" s="524"/>
      <c r="H41" s="524"/>
      <c r="I41" s="525"/>
      <c r="J41" s="527">
        <f>J40*50</f>
        <v>9500</v>
      </c>
      <c r="L41" s="528">
        <v>13650</v>
      </c>
    </row>
    <row r="42" spans="1:12">
      <c r="A42" s="523" t="s">
        <v>224</v>
      </c>
      <c r="B42" s="524"/>
      <c r="C42" s="524"/>
      <c r="D42" s="524"/>
      <c r="E42" s="524"/>
      <c r="F42" s="524"/>
      <c r="G42" s="524"/>
      <c r="H42" s="524"/>
      <c r="I42" s="525"/>
      <c r="J42" s="526">
        <v>68</v>
      </c>
      <c r="L42" s="521">
        <v>51</v>
      </c>
    </row>
    <row r="43" spans="1:12">
      <c r="A43" s="523" t="s">
        <v>225</v>
      </c>
      <c r="B43" s="524"/>
      <c r="C43" s="524"/>
      <c r="D43" s="524"/>
      <c r="E43" s="524"/>
      <c r="F43" s="524"/>
      <c r="G43" s="524"/>
      <c r="H43" s="524"/>
      <c r="I43" s="525"/>
      <c r="J43" s="527">
        <f>J42*50</f>
        <v>3400</v>
      </c>
      <c r="L43" s="542">
        <f>L42*50</f>
        <v>2550</v>
      </c>
    </row>
    <row r="44" spans="1:12">
      <c r="A44" s="523" t="s">
        <v>226</v>
      </c>
      <c r="B44" s="524"/>
      <c r="C44" s="524"/>
      <c r="D44" s="524"/>
      <c r="E44" s="524"/>
      <c r="F44" s="524"/>
      <c r="G44" s="524"/>
      <c r="H44" s="524"/>
      <c r="I44" s="525"/>
      <c r="J44" s="527">
        <f>J41+J43</f>
        <v>12900</v>
      </c>
      <c r="L44" s="542">
        <f>L41+L43</f>
        <v>16200</v>
      </c>
    </row>
    <row r="45" spans="1:12">
      <c r="A45" s="533" t="s">
        <v>227</v>
      </c>
      <c r="B45" s="519"/>
      <c r="C45" s="519"/>
      <c r="D45" s="519"/>
      <c r="E45" s="519"/>
      <c r="F45" s="519"/>
      <c r="G45" s="519"/>
      <c r="H45" s="519"/>
      <c r="I45" s="520"/>
      <c r="J45" s="534">
        <f>1-(J38+J39)/(J37)</f>
        <v>0.97406825325550073</v>
      </c>
      <c r="K45" s="535"/>
    </row>
    <row r="46" spans="1:12">
      <c r="A46" s="514" t="s">
        <v>212</v>
      </c>
      <c r="B46" s="543"/>
      <c r="C46" s="543"/>
      <c r="D46" s="543"/>
      <c r="E46" s="543"/>
      <c r="F46" s="543"/>
      <c r="G46" s="543"/>
      <c r="H46" s="543"/>
      <c r="I46" s="543"/>
      <c r="J46" s="516"/>
    </row>
    <row r="47" spans="1:12">
      <c r="A47" s="523" t="s">
        <v>219</v>
      </c>
      <c r="B47" s="524"/>
      <c r="C47" s="524"/>
      <c r="D47" s="524"/>
      <c r="E47" s="524"/>
      <c r="F47" s="524"/>
      <c r="G47" s="524"/>
      <c r="H47" s="524"/>
      <c r="I47" s="525"/>
      <c r="J47" s="526">
        <v>164</v>
      </c>
      <c r="L47" s="536"/>
    </row>
    <row r="48" spans="1:12">
      <c r="A48" s="523" t="s">
        <v>220</v>
      </c>
      <c r="B48" s="524"/>
      <c r="C48" s="524"/>
      <c r="D48" s="524"/>
      <c r="E48" s="524"/>
      <c r="F48" s="524"/>
      <c r="G48" s="524"/>
      <c r="H48" s="524"/>
      <c r="I48" s="525"/>
      <c r="J48" s="526">
        <v>4</v>
      </c>
      <c r="L48" s="536"/>
    </row>
    <row r="49" spans="1:12">
      <c r="A49" s="523" t="s">
        <v>221</v>
      </c>
      <c r="B49" s="524"/>
      <c r="C49" s="524"/>
      <c r="D49" s="524"/>
      <c r="E49" s="524"/>
      <c r="F49" s="524"/>
      <c r="G49" s="524"/>
      <c r="H49" s="524"/>
      <c r="I49" s="525"/>
      <c r="J49" s="526">
        <v>0</v>
      </c>
      <c r="L49" s="536"/>
    </row>
    <row r="50" spans="1:12">
      <c r="A50" s="523" t="s">
        <v>222</v>
      </c>
      <c r="B50" s="524"/>
      <c r="C50" s="524"/>
      <c r="D50" s="524"/>
      <c r="E50" s="524"/>
      <c r="F50" s="524"/>
      <c r="G50" s="524"/>
      <c r="H50" s="524"/>
      <c r="I50" s="525"/>
      <c r="J50" s="526">
        <v>4</v>
      </c>
      <c r="L50" s="521">
        <v>3</v>
      </c>
    </row>
    <row r="51" spans="1:12">
      <c r="A51" s="523" t="s">
        <v>223</v>
      </c>
      <c r="B51" s="524"/>
      <c r="C51" s="524"/>
      <c r="D51" s="524"/>
      <c r="E51" s="524"/>
      <c r="F51" s="524"/>
      <c r="G51" s="524"/>
      <c r="H51" s="524"/>
      <c r="I51" s="525"/>
      <c r="J51" s="527">
        <f>J50*100</f>
        <v>400</v>
      </c>
      <c r="L51" s="528">
        <v>280</v>
      </c>
    </row>
    <row r="52" spans="1:12">
      <c r="A52" s="523" t="s">
        <v>224</v>
      </c>
      <c r="B52" s="524"/>
      <c r="C52" s="524"/>
      <c r="D52" s="524"/>
      <c r="E52" s="524"/>
      <c r="F52" s="524"/>
      <c r="G52" s="524"/>
      <c r="H52" s="524"/>
      <c r="I52" s="525"/>
      <c r="J52" s="526">
        <v>0</v>
      </c>
      <c r="L52" s="521">
        <v>0</v>
      </c>
    </row>
    <row r="53" spans="1:12">
      <c r="A53" s="523" t="s">
        <v>225</v>
      </c>
      <c r="B53" s="524"/>
      <c r="C53" s="524"/>
      <c r="D53" s="524"/>
      <c r="E53" s="524"/>
      <c r="F53" s="524"/>
      <c r="G53" s="524"/>
      <c r="H53" s="524"/>
      <c r="I53" s="525"/>
      <c r="J53" s="527">
        <f>J52*100</f>
        <v>0</v>
      </c>
      <c r="L53" s="528">
        <v>0</v>
      </c>
    </row>
    <row r="54" spans="1:12">
      <c r="A54" s="523" t="s">
        <v>228</v>
      </c>
      <c r="B54" s="538"/>
      <c r="C54" s="538"/>
      <c r="D54" s="538"/>
      <c r="E54" s="538"/>
      <c r="F54" s="538"/>
      <c r="G54" s="538"/>
      <c r="H54" s="538"/>
      <c r="I54" s="539"/>
      <c r="J54" s="527">
        <f>J51+J53</f>
        <v>400</v>
      </c>
      <c r="L54" s="542">
        <f>L51+L53</f>
        <v>280</v>
      </c>
    </row>
    <row r="55" spans="1:12">
      <c r="A55" s="533" t="s">
        <v>229</v>
      </c>
      <c r="B55" s="519"/>
      <c r="C55" s="519"/>
      <c r="D55" s="519"/>
      <c r="E55" s="519"/>
      <c r="F55" s="519"/>
      <c r="G55" s="519"/>
      <c r="H55" s="519"/>
      <c r="I55" s="520"/>
      <c r="J55" s="534">
        <f>1-(J48+J49)/(J47)</f>
        <v>0.97560975609756095</v>
      </c>
      <c r="K55" s="535"/>
    </row>
    <row r="56" spans="1:12">
      <c r="A56" s="530" t="s">
        <v>230</v>
      </c>
      <c r="B56" s="538"/>
      <c r="C56" s="538"/>
      <c r="D56" s="538"/>
      <c r="E56" s="538"/>
      <c r="F56" s="538"/>
      <c r="G56" s="538"/>
      <c r="H56" s="538"/>
      <c r="I56" s="539"/>
      <c r="J56" s="531">
        <f>J44+J54</f>
        <v>13300</v>
      </c>
      <c r="L56" s="532">
        <f>L44+L54</f>
        <v>16480</v>
      </c>
    </row>
    <row r="57" spans="1:12">
      <c r="A57" s="533" t="s">
        <v>231</v>
      </c>
      <c r="B57" s="519"/>
      <c r="C57" s="519"/>
      <c r="D57" s="519"/>
      <c r="E57" s="519"/>
      <c r="F57" s="519"/>
      <c r="G57" s="519"/>
      <c r="H57" s="519"/>
      <c r="I57" s="520"/>
      <c r="J57" s="534">
        <f>1-(J48+J49+J38+J39)/(J47+J37)</f>
        <v>0.97409611992945322</v>
      </c>
      <c r="K57" s="535"/>
    </row>
    <row r="58" spans="1:12">
      <c r="A58" s="509"/>
      <c r="B58" s="509"/>
      <c r="C58" s="509"/>
      <c r="D58" s="509"/>
      <c r="E58" s="509"/>
      <c r="F58" s="509"/>
      <c r="G58" s="509"/>
      <c r="H58" s="509"/>
      <c r="I58" s="509"/>
      <c r="J58" s="509"/>
    </row>
    <row r="59" spans="1:12">
      <c r="A59" s="512" t="s">
        <v>232</v>
      </c>
      <c r="B59" s="513"/>
      <c r="C59" s="513"/>
      <c r="D59" s="513"/>
      <c r="E59" s="513"/>
      <c r="F59" s="513"/>
      <c r="G59" s="513"/>
      <c r="H59" s="513"/>
      <c r="I59" s="513"/>
      <c r="J59" s="513"/>
    </row>
    <row r="60" spans="1:12">
      <c r="A60" s="544"/>
      <c r="B60" s="509"/>
      <c r="C60" s="509"/>
      <c r="D60" s="509"/>
      <c r="E60" s="509"/>
      <c r="F60" s="509"/>
      <c r="G60" s="509"/>
      <c r="H60" s="509"/>
      <c r="I60" s="509"/>
      <c r="J60" s="516"/>
      <c r="L60" s="517" t="s">
        <v>201</v>
      </c>
    </row>
    <row r="61" spans="1:12">
      <c r="A61" s="523" t="s">
        <v>233</v>
      </c>
      <c r="B61" s="524"/>
      <c r="C61" s="524"/>
      <c r="D61" s="524"/>
      <c r="E61" s="524"/>
      <c r="F61" s="524"/>
      <c r="G61" s="524"/>
      <c r="H61" s="524"/>
      <c r="I61" s="525"/>
      <c r="J61" s="545">
        <f>J63+J67+J71</f>
        <v>7512</v>
      </c>
    </row>
    <row r="62" spans="1:12">
      <c r="A62" s="546" t="s">
        <v>234</v>
      </c>
      <c r="B62" s="547"/>
      <c r="C62" s="547"/>
      <c r="D62" s="547"/>
      <c r="E62" s="547"/>
      <c r="F62" s="547"/>
      <c r="G62" s="547"/>
      <c r="H62" s="547"/>
      <c r="I62" s="547"/>
      <c r="J62" s="547"/>
    </row>
    <row r="63" spans="1:12">
      <c r="A63" s="523" t="s">
        <v>235</v>
      </c>
      <c r="B63" s="524"/>
      <c r="C63" s="524"/>
      <c r="D63" s="524"/>
      <c r="E63" s="524"/>
      <c r="F63" s="524"/>
      <c r="G63" s="524"/>
      <c r="H63" s="524"/>
      <c r="I63" s="525"/>
      <c r="J63" s="526">
        <v>6069</v>
      </c>
    </row>
    <row r="64" spans="1:12">
      <c r="A64" s="523" t="s">
        <v>236</v>
      </c>
      <c r="B64" s="524"/>
      <c r="C64" s="524"/>
      <c r="D64" s="524"/>
      <c r="E64" s="524"/>
      <c r="F64" s="524"/>
      <c r="G64" s="524"/>
      <c r="H64" s="524"/>
      <c r="I64" s="525"/>
      <c r="J64" s="526">
        <v>8</v>
      </c>
      <c r="L64" s="521">
        <v>6</v>
      </c>
    </row>
    <row r="65" spans="1:12">
      <c r="A65" s="523" t="s">
        <v>237</v>
      </c>
      <c r="B65" s="524"/>
      <c r="C65" s="524"/>
      <c r="D65" s="524"/>
      <c r="E65" s="524"/>
      <c r="F65" s="524"/>
      <c r="G65" s="524"/>
      <c r="H65" s="524"/>
      <c r="I65" s="548"/>
      <c r="J65" s="549">
        <f>J64*24</f>
        <v>192</v>
      </c>
      <c r="L65" s="528">
        <v>202</v>
      </c>
    </row>
    <row r="66" spans="1:12">
      <c r="A66" s="546" t="s">
        <v>238</v>
      </c>
      <c r="B66" s="547"/>
      <c r="C66" s="547"/>
      <c r="D66" s="547"/>
      <c r="E66" s="547"/>
      <c r="F66" s="547"/>
      <c r="G66" s="547"/>
      <c r="H66" s="547"/>
      <c r="I66" s="547"/>
      <c r="J66" s="547"/>
      <c r="L66" s="536"/>
    </row>
    <row r="67" spans="1:12" ht="25.5" customHeight="1">
      <c r="A67" s="669" t="s">
        <v>239</v>
      </c>
      <c r="B67" s="670"/>
      <c r="C67" s="670"/>
      <c r="D67" s="670"/>
      <c r="E67" s="670"/>
      <c r="F67" s="670"/>
      <c r="G67" s="670"/>
      <c r="H67" s="670"/>
      <c r="I67" s="671"/>
      <c r="J67" s="526">
        <v>1390</v>
      </c>
      <c r="L67" s="536"/>
    </row>
    <row r="68" spans="1:12">
      <c r="A68" s="523" t="s">
        <v>240</v>
      </c>
      <c r="B68" s="524"/>
      <c r="C68" s="524"/>
      <c r="D68" s="524"/>
      <c r="E68" s="524"/>
      <c r="F68" s="524"/>
      <c r="G68" s="524"/>
      <c r="H68" s="524"/>
      <c r="I68" s="525"/>
      <c r="J68" s="526">
        <v>1</v>
      </c>
      <c r="L68" s="521">
        <v>3</v>
      </c>
    </row>
    <row r="69" spans="1:12">
      <c r="A69" s="523" t="s">
        <v>241</v>
      </c>
      <c r="B69" s="524"/>
      <c r="C69" s="524"/>
      <c r="D69" s="524"/>
      <c r="E69" s="524"/>
      <c r="F69" s="524"/>
      <c r="G69" s="524"/>
      <c r="H69" s="524"/>
      <c r="I69" s="548"/>
      <c r="J69" s="549">
        <f>J68*24</f>
        <v>24</v>
      </c>
      <c r="L69" s="528">
        <v>94</v>
      </c>
    </row>
    <row r="70" spans="1:12">
      <c r="A70" s="546" t="s">
        <v>242</v>
      </c>
      <c r="B70" s="547"/>
      <c r="C70" s="547"/>
      <c r="D70" s="547"/>
      <c r="E70" s="547"/>
      <c r="F70" s="547"/>
      <c r="G70" s="547"/>
      <c r="H70" s="547"/>
      <c r="I70" s="547"/>
      <c r="J70" s="547"/>
      <c r="L70" s="536"/>
    </row>
    <row r="71" spans="1:12" ht="25.5" customHeight="1">
      <c r="A71" s="669" t="s">
        <v>243</v>
      </c>
      <c r="B71" s="670"/>
      <c r="C71" s="670"/>
      <c r="D71" s="670"/>
      <c r="E71" s="670"/>
      <c r="F71" s="670"/>
      <c r="G71" s="670"/>
      <c r="H71" s="670"/>
      <c r="I71" s="671"/>
      <c r="J71" s="526">
        <v>53</v>
      </c>
      <c r="L71" s="536"/>
    </row>
    <row r="72" spans="1:12">
      <c r="A72" s="523" t="s">
        <v>244</v>
      </c>
      <c r="B72" s="524"/>
      <c r="C72" s="524"/>
      <c r="D72" s="524"/>
      <c r="E72" s="524"/>
      <c r="F72" s="524"/>
      <c r="G72" s="524"/>
      <c r="H72" s="524"/>
      <c r="I72" s="525"/>
      <c r="J72" s="526">
        <v>0</v>
      </c>
      <c r="L72" s="521">
        <v>0</v>
      </c>
    </row>
    <row r="73" spans="1:12">
      <c r="A73" s="523" t="s">
        <v>245</v>
      </c>
      <c r="B73" s="524"/>
      <c r="C73" s="524"/>
      <c r="D73" s="524"/>
      <c r="E73" s="524"/>
      <c r="F73" s="524"/>
      <c r="G73" s="524"/>
      <c r="H73" s="524"/>
      <c r="I73" s="548"/>
      <c r="J73" s="549">
        <f>J72*24</f>
        <v>0</v>
      </c>
      <c r="L73" s="528">
        <v>0</v>
      </c>
    </row>
    <row r="74" spans="1:12">
      <c r="A74" s="523"/>
      <c r="B74" s="524"/>
      <c r="C74" s="524"/>
      <c r="D74" s="524"/>
      <c r="E74" s="524"/>
      <c r="F74" s="524"/>
      <c r="G74" s="524"/>
      <c r="H74" s="524"/>
      <c r="I74" s="524"/>
      <c r="J74" s="550"/>
      <c r="L74" s="551"/>
    </row>
    <row r="75" spans="1:12">
      <c r="A75" s="530" t="s">
        <v>246</v>
      </c>
      <c r="B75" s="538"/>
      <c r="C75" s="538"/>
      <c r="D75" s="538"/>
      <c r="E75" s="538"/>
      <c r="F75" s="538"/>
      <c r="G75" s="538"/>
      <c r="H75" s="538"/>
      <c r="I75" s="552"/>
      <c r="J75" s="553">
        <f>J65+J69+J73</f>
        <v>216</v>
      </c>
      <c r="L75" s="554">
        <f>L65+L69+L73</f>
        <v>296</v>
      </c>
    </row>
    <row r="76" spans="1:12">
      <c r="A76" s="555"/>
      <c r="B76" s="555"/>
      <c r="C76" s="555"/>
      <c r="D76" s="555"/>
      <c r="E76" s="555"/>
      <c r="F76" s="555"/>
      <c r="G76" s="555"/>
      <c r="H76" s="555"/>
      <c r="I76" s="555"/>
      <c r="J76" s="556"/>
    </row>
    <row r="77" spans="1:12">
      <c r="A77" s="555"/>
      <c r="B77" s="555"/>
      <c r="C77" s="555"/>
      <c r="D77" s="555"/>
      <c r="E77" s="555"/>
      <c r="F77" s="555"/>
      <c r="G77" s="555"/>
      <c r="H77" s="555"/>
      <c r="I77" s="555"/>
      <c r="J77" s="556"/>
    </row>
    <row r="78" spans="1:12">
      <c r="A78" s="557" t="s">
        <v>247</v>
      </c>
      <c r="B78" s="513"/>
      <c r="C78" s="513"/>
      <c r="D78" s="513"/>
      <c r="E78" s="513"/>
      <c r="F78" s="513"/>
      <c r="G78" s="513"/>
      <c r="H78" s="513"/>
      <c r="I78" s="513"/>
      <c r="J78" s="513"/>
      <c r="K78" s="513"/>
    </row>
    <row r="79" spans="1:12" ht="25.2">
      <c r="A79" s="558"/>
      <c r="B79" s="558"/>
      <c r="C79" s="558"/>
      <c r="D79" s="558"/>
      <c r="E79" s="558"/>
      <c r="F79" s="558"/>
      <c r="G79" s="558"/>
      <c r="H79" s="558"/>
      <c r="I79" s="558"/>
      <c r="J79" s="516"/>
      <c r="K79" s="516" t="s">
        <v>248</v>
      </c>
      <c r="L79" s="559" t="s">
        <v>249</v>
      </c>
    </row>
    <row r="80" spans="1:12">
      <c r="A80" s="560" t="s">
        <v>250</v>
      </c>
      <c r="B80" s="561"/>
      <c r="C80" s="561"/>
      <c r="D80" s="561"/>
      <c r="E80" s="561"/>
      <c r="F80" s="561"/>
      <c r="G80" s="561"/>
      <c r="H80" s="561"/>
      <c r="I80" s="562"/>
      <c r="J80" s="563">
        <f>J81+J82</f>
        <v>5852</v>
      </c>
      <c r="K80" s="563">
        <f>K81+K82</f>
        <v>1906</v>
      </c>
    </row>
    <row r="81" spans="1:12">
      <c r="A81" s="560" t="s">
        <v>251</v>
      </c>
      <c r="B81" s="561"/>
      <c r="C81" s="561"/>
      <c r="D81" s="561"/>
      <c r="E81" s="561"/>
      <c r="F81" s="561"/>
      <c r="G81" s="561"/>
      <c r="H81" s="561"/>
      <c r="I81" s="562"/>
      <c r="J81" s="526">
        <v>5844</v>
      </c>
      <c r="K81" s="526">
        <v>1897</v>
      </c>
    </row>
    <row r="82" spans="1:12">
      <c r="A82" s="560" t="s">
        <v>252</v>
      </c>
      <c r="B82" s="561"/>
      <c r="C82" s="561"/>
      <c r="D82" s="561"/>
      <c r="E82" s="561"/>
      <c r="F82" s="561"/>
      <c r="G82" s="561"/>
      <c r="H82" s="561"/>
      <c r="I82" s="562"/>
      <c r="J82" s="526">
        <v>8</v>
      </c>
      <c r="K82" s="526">
        <v>9</v>
      </c>
    </row>
    <row r="83" spans="1:12">
      <c r="A83" s="560" t="s">
        <v>253</v>
      </c>
      <c r="B83" s="561"/>
      <c r="C83" s="561"/>
      <c r="D83" s="561"/>
      <c r="E83" s="561"/>
      <c r="F83" s="561"/>
      <c r="G83" s="561"/>
      <c r="H83" s="561"/>
      <c r="I83" s="562"/>
      <c r="J83" s="526">
        <v>35</v>
      </c>
      <c r="K83" s="526">
        <v>29</v>
      </c>
      <c r="L83" s="526">
        <v>9</v>
      </c>
    </row>
    <row r="84" spans="1:12">
      <c r="A84" s="560" t="s">
        <v>254</v>
      </c>
      <c r="B84" s="561"/>
      <c r="C84" s="561"/>
      <c r="D84" s="561"/>
      <c r="E84" s="561"/>
      <c r="F84" s="561"/>
      <c r="G84" s="561"/>
      <c r="H84" s="561"/>
      <c r="I84" s="562"/>
      <c r="J84" s="526">
        <v>0</v>
      </c>
      <c r="K84" s="526">
        <v>0</v>
      </c>
    </row>
    <row r="85" spans="1:12">
      <c r="A85" s="564" t="s">
        <v>255</v>
      </c>
      <c r="B85" s="561"/>
      <c r="C85" s="561"/>
      <c r="D85" s="561"/>
      <c r="E85" s="561"/>
      <c r="F85" s="561"/>
      <c r="G85" s="561"/>
      <c r="H85" s="561"/>
      <c r="I85" s="562"/>
      <c r="J85" s="565">
        <v>350</v>
      </c>
      <c r="K85" s="565">
        <v>290</v>
      </c>
      <c r="L85" s="565">
        <v>410</v>
      </c>
    </row>
    <row r="86" spans="1:12">
      <c r="A86" s="558"/>
      <c r="B86" s="558"/>
      <c r="C86" s="558"/>
      <c r="D86" s="558"/>
      <c r="E86" s="558"/>
      <c r="F86" s="558"/>
      <c r="G86" s="558"/>
      <c r="H86" s="558"/>
      <c r="I86" s="558"/>
      <c r="J86" s="566"/>
    </row>
    <row r="87" spans="1:12">
      <c r="A87" s="558"/>
      <c r="B87" s="558"/>
      <c r="C87" s="558"/>
      <c r="D87" s="558"/>
      <c r="E87" s="558"/>
      <c r="F87" s="558"/>
      <c r="G87" s="558"/>
      <c r="H87" s="558"/>
      <c r="I87" s="558"/>
      <c r="J87" s="516" t="s">
        <v>256</v>
      </c>
    </row>
    <row r="88" spans="1:12">
      <c r="A88" s="669" t="s">
        <v>257</v>
      </c>
      <c r="B88" s="670"/>
      <c r="C88" s="670"/>
      <c r="D88" s="670"/>
      <c r="E88" s="670"/>
      <c r="F88" s="670"/>
      <c r="G88" s="670"/>
      <c r="H88" s="670"/>
      <c r="I88" s="671"/>
      <c r="J88" s="526">
        <v>5026</v>
      </c>
    </row>
    <row r="89" spans="1:12">
      <c r="A89" s="523" t="s">
        <v>258</v>
      </c>
      <c r="B89" s="538"/>
      <c r="C89" s="538"/>
      <c r="D89" s="538"/>
      <c r="E89" s="538"/>
      <c r="F89" s="538"/>
      <c r="G89" s="538"/>
      <c r="H89" s="538"/>
      <c r="I89" s="538"/>
      <c r="J89" s="526">
        <v>0</v>
      </c>
    </row>
    <row r="90" spans="1:12">
      <c r="A90" s="523" t="s">
        <v>259</v>
      </c>
      <c r="B90" s="538"/>
      <c r="C90" s="538"/>
      <c r="D90" s="538"/>
      <c r="E90" s="538"/>
      <c r="F90" s="538"/>
      <c r="G90" s="538"/>
      <c r="H90" s="538"/>
      <c r="I90" s="538"/>
      <c r="J90" s="526">
        <v>0</v>
      </c>
    </row>
    <row r="91" spans="1:12">
      <c r="A91" s="523" t="s">
        <v>260</v>
      </c>
      <c r="B91" s="538"/>
      <c r="C91" s="538"/>
      <c r="D91" s="538"/>
      <c r="E91" s="538"/>
      <c r="F91" s="538"/>
      <c r="G91" s="538"/>
      <c r="H91" s="538"/>
      <c r="I91" s="538"/>
      <c r="J91" s="526">
        <v>0</v>
      </c>
    </row>
    <row r="92" spans="1:12" ht="26.25" customHeight="1">
      <c r="A92" s="669" t="s">
        <v>261</v>
      </c>
      <c r="B92" s="670"/>
      <c r="C92" s="670"/>
      <c r="D92" s="670"/>
      <c r="E92" s="670"/>
      <c r="F92" s="670"/>
      <c r="G92" s="670"/>
      <c r="H92" s="670"/>
      <c r="I92" s="671"/>
      <c r="J92" s="526">
        <v>0</v>
      </c>
    </row>
    <row r="93" spans="1:12">
      <c r="A93" s="558"/>
      <c r="B93" s="558"/>
      <c r="C93" s="558"/>
      <c r="D93" s="558"/>
      <c r="E93" s="558"/>
      <c r="F93" s="558"/>
      <c r="G93" s="558"/>
      <c r="H93" s="558"/>
      <c r="I93" s="558"/>
      <c r="J93" s="566"/>
    </row>
    <row r="94" spans="1:12">
      <c r="A94" s="557" t="s">
        <v>262</v>
      </c>
      <c r="B94" s="513"/>
      <c r="C94" s="513"/>
      <c r="D94" s="513"/>
      <c r="E94" s="513"/>
      <c r="F94" s="513"/>
      <c r="G94" s="513"/>
      <c r="H94" s="513"/>
      <c r="I94" s="513"/>
      <c r="J94" s="513"/>
      <c r="K94" s="513"/>
    </row>
    <row r="95" spans="1:12" ht="25.2">
      <c r="A95" s="555"/>
      <c r="B95" s="555"/>
      <c r="C95" s="555"/>
      <c r="D95" s="555"/>
      <c r="E95" s="555"/>
      <c r="F95" s="555"/>
      <c r="G95" s="555"/>
      <c r="H95" s="555"/>
      <c r="I95" s="555"/>
      <c r="J95" s="516"/>
      <c r="K95" s="516" t="s">
        <v>248</v>
      </c>
      <c r="L95" s="559" t="s">
        <v>249</v>
      </c>
    </row>
    <row r="96" spans="1:12">
      <c r="A96" s="560" t="s">
        <v>263</v>
      </c>
      <c r="B96" s="561"/>
      <c r="C96" s="561"/>
      <c r="D96" s="561"/>
      <c r="E96" s="561"/>
      <c r="F96" s="561"/>
      <c r="G96" s="561"/>
      <c r="H96" s="561"/>
      <c r="I96" s="562"/>
      <c r="J96" s="563">
        <f>J97+J98</f>
        <v>5001</v>
      </c>
      <c r="K96" s="563">
        <f>K97+K98</f>
        <v>2261</v>
      </c>
    </row>
    <row r="97" spans="1:12">
      <c r="A97" s="560" t="s">
        <v>264</v>
      </c>
      <c r="B97" s="561"/>
      <c r="C97" s="561"/>
      <c r="D97" s="561"/>
      <c r="E97" s="561"/>
      <c r="F97" s="561"/>
      <c r="G97" s="561"/>
      <c r="H97" s="561"/>
      <c r="I97" s="562"/>
      <c r="J97" s="526">
        <v>4977</v>
      </c>
      <c r="K97" s="526">
        <v>2247</v>
      </c>
    </row>
    <row r="98" spans="1:12">
      <c r="A98" s="560" t="s">
        <v>265</v>
      </c>
      <c r="B98" s="561"/>
      <c r="C98" s="561"/>
      <c r="D98" s="561"/>
      <c r="E98" s="561"/>
      <c r="F98" s="561"/>
      <c r="G98" s="561"/>
      <c r="H98" s="561"/>
      <c r="I98" s="562"/>
      <c r="J98" s="526">
        <v>24</v>
      </c>
      <c r="K98" s="526">
        <v>14</v>
      </c>
    </row>
    <row r="99" spans="1:12">
      <c r="A99" s="560" t="s">
        <v>266</v>
      </c>
      <c r="B99" s="561"/>
      <c r="C99" s="561"/>
      <c r="D99" s="561"/>
      <c r="E99" s="561"/>
      <c r="F99" s="561"/>
      <c r="G99" s="561"/>
      <c r="H99" s="561"/>
      <c r="I99" s="562"/>
      <c r="J99" s="526">
        <v>143</v>
      </c>
      <c r="K99" s="526">
        <v>130</v>
      </c>
      <c r="L99" s="526">
        <v>23</v>
      </c>
    </row>
    <row r="100" spans="1:12">
      <c r="A100" s="560" t="s">
        <v>254</v>
      </c>
      <c r="B100" s="561"/>
      <c r="C100" s="561"/>
      <c r="D100" s="561"/>
      <c r="E100" s="561"/>
      <c r="F100" s="561"/>
      <c r="G100" s="561"/>
      <c r="H100" s="561"/>
      <c r="I100" s="562"/>
      <c r="J100" s="526">
        <v>0</v>
      </c>
      <c r="K100" s="526">
        <v>2</v>
      </c>
    </row>
    <row r="101" spans="1:12">
      <c r="A101" s="564" t="s">
        <v>267</v>
      </c>
      <c r="B101" s="561"/>
      <c r="C101" s="561"/>
      <c r="D101" s="561"/>
      <c r="E101" s="561"/>
      <c r="F101" s="561"/>
      <c r="G101" s="561"/>
      <c r="H101" s="561"/>
      <c r="I101" s="562"/>
      <c r="J101" s="565">
        <v>1430</v>
      </c>
      <c r="K101" s="565">
        <v>1300</v>
      </c>
      <c r="L101" s="565">
        <v>1670</v>
      </c>
    </row>
    <row r="102" spans="1:12">
      <c r="A102" s="558"/>
      <c r="B102" s="558"/>
      <c r="C102" s="558"/>
      <c r="D102" s="558"/>
      <c r="E102" s="558"/>
      <c r="F102" s="558"/>
      <c r="G102" s="558"/>
      <c r="H102" s="558"/>
      <c r="I102" s="558"/>
      <c r="J102" s="566"/>
    </row>
    <row r="103" spans="1:12">
      <c r="A103" s="558"/>
      <c r="B103" s="558"/>
      <c r="C103" s="558"/>
      <c r="D103" s="558"/>
      <c r="E103" s="558"/>
      <c r="F103" s="558"/>
      <c r="G103" s="558"/>
      <c r="H103" s="558"/>
      <c r="I103" s="558"/>
      <c r="J103" s="516" t="s">
        <v>256</v>
      </c>
    </row>
    <row r="104" spans="1:12">
      <c r="A104" s="523" t="s">
        <v>268</v>
      </c>
      <c r="B104" s="538"/>
      <c r="C104" s="538"/>
      <c r="D104" s="538"/>
      <c r="E104" s="538"/>
      <c r="F104" s="538"/>
      <c r="G104" s="538"/>
      <c r="H104" s="538"/>
      <c r="I104" s="538"/>
      <c r="J104" s="526">
        <v>342</v>
      </c>
    </row>
    <row r="105" spans="1:12">
      <c r="A105" s="523" t="s">
        <v>269</v>
      </c>
      <c r="B105" s="538"/>
      <c r="C105" s="538"/>
      <c r="D105" s="538"/>
      <c r="E105" s="538"/>
      <c r="F105" s="538"/>
      <c r="G105" s="538"/>
      <c r="H105" s="538"/>
      <c r="I105" s="538"/>
      <c r="J105" s="526">
        <v>0</v>
      </c>
    </row>
    <row r="106" spans="1:12">
      <c r="A106" s="523" t="s">
        <v>270</v>
      </c>
      <c r="B106" s="538"/>
      <c r="C106" s="538"/>
      <c r="D106" s="538"/>
      <c r="E106" s="538"/>
      <c r="F106" s="538"/>
      <c r="G106" s="538"/>
      <c r="H106" s="538"/>
      <c r="I106" s="538"/>
      <c r="J106" s="526">
        <v>0</v>
      </c>
    </row>
    <row r="107" spans="1:12">
      <c r="A107" s="523" t="s">
        <v>260</v>
      </c>
      <c r="B107" s="538"/>
      <c r="C107" s="538"/>
      <c r="D107" s="538"/>
      <c r="E107" s="538"/>
      <c r="F107" s="538"/>
      <c r="G107" s="538"/>
      <c r="H107" s="538"/>
      <c r="I107" s="538"/>
      <c r="J107" s="526">
        <v>0</v>
      </c>
    </row>
    <row r="108" spans="1:12" ht="25.5" customHeight="1">
      <c r="A108" s="669" t="s">
        <v>261</v>
      </c>
      <c r="B108" s="670"/>
      <c r="C108" s="670"/>
      <c r="D108" s="670"/>
      <c r="E108" s="670"/>
      <c r="F108" s="670"/>
      <c r="G108" s="670"/>
      <c r="H108" s="670"/>
      <c r="I108" s="671"/>
      <c r="J108" s="526">
        <v>7</v>
      </c>
    </row>
    <row r="109" spans="1:12">
      <c r="A109" s="558"/>
      <c r="B109" s="558"/>
      <c r="C109" s="558"/>
      <c r="D109" s="558"/>
      <c r="E109" s="558"/>
      <c r="F109" s="558"/>
      <c r="G109" s="558"/>
      <c r="H109" s="558"/>
      <c r="I109" s="558"/>
      <c r="J109" s="566"/>
    </row>
    <row r="110" spans="1:12">
      <c r="A110" s="557" t="s">
        <v>271</v>
      </c>
      <c r="B110" s="513"/>
      <c r="C110" s="513"/>
      <c r="D110" s="513"/>
      <c r="E110" s="513"/>
      <c r="F110" s="513"/>
      <c r="G110" s="513"/>
      <c r="H110" s="513"/>
      <c r="I110" s="513"/>
      <c r="J110" s="513"/>
      <c r="K110" s="513"/>
    </row>
    <row r="111" spans="1:12" ht="25.2">
      <c r="A111" s="558"/>
      <c r="B111" s="558"/>
      <c r="C111" s="558"/>
      <c r="D111" s="558"/>
      <c r="E111" s="558"/>
      <c r="F111" s="558"/>
      <c r="G111" s="558"/>
      <c r="H111" s="558"/>
      <c r="I111" s="558"/>
      <c r="J111" s="516"/>
      <c r="K111" s="516" t="s">
        <v>248</v>
      </c>
      <c r="L111" s="559" t="s">
        <v>249</v>
      </c>
    </row>
    <row r="112" spans="1:12">
      <c r="A112" s="560" t="s">
        <v>272</v>
      </c>
      <c r="B112" s="561"/>
      <c r="C112" s="561"/>
      <c r="D112" s="561"/>
      <c r="E112" s="561"/>
      <c r="F112" s="561"/>
      <c r="G112" s="561"/>
      <c r="H112" s="561"/>
      <c r="I112" s="562"/>
      <c r="J112" s="563">
        <f>J113+J114</f>
        <v>76</v>
      </c>
      <c r="K112" s="563">
        <f>K113+K114</f>
        <v>508</v>
      </c>
    </row>
    <row r="113" spans="1:12">
      <c r="A113" s="560" t="s">
        <v>273</v>
      </c>
      <c r="B113" s="561"/>
      <c r="C113" s="561"/>
      <c r="D113" s="561"/>
      <c r="E113" s="561"/>
      <c r="F113" s="561"/>
      <c r="G113" s="561"/>
      <c r="H113" s="561"/>
      <c r="I113" s="562"/>
      <c r="J113" s="526">
        <v>75</v>
      </c>
      <c r="K113" s="526">
        <v>505</v>
      </c>
    </row>
    <row r="114" spans="1:12">
      <c r="A114" s="560" t="s">
        <v>274</v>
      </c>
      <c r="B114" s="561"/>
      <c r="C114" s="561"/>
      <c r="D114" s="561"/>
      <c r="E114" s="561"/>
      <c r="F114" s="561"/>
      <c r="G114" s="561"/>
      <c r="H114" s="561"/>
      <c r="I114" s="562"/>
      <c r="J114" s="526">
        <v>1</v>
      </c>
      <c r="K114" s="526">
        <v>3</v>
      </c>
    </row>
    <row r="115" spans="1:12">
      <c r="A115" s="560" t="s">
        <v>275</v>
      </c>
      <c r="B115" s="561"/>
      <c r="C115" s="561"/>
      <c r="D115" s="561"/>
      <c r="E115" s="561"/>
      <c r="F115" s="561"/>
      <c r="G115" s="561"/>
      <c r="H115" s="561"/>
      <c r="I115" s="562"/>
      <c r="J115" s="526">
        <v>2</v>
      </c>
      <c r="K115" s="526">
        <v>27</v>
      </c>
      <c r="L115" s="526">
        <v>2</v>
      </c>
    </row>
    <row r="116" spans="1:12">
      <c r="A116" s="560" t="s">
        <v>276</v>
      </c>
      <c r="B116" s="561"/>
      <c r="C116" s="561"/>
      <c r="D116" s="561"/>
      <c r="E116" s="561"/>
      <c r="F116" s="561"/>
      <c r="G116" s="561"/>
      <c r="H116" s="561"/>
      <c r="I116" s="562"/>
      <c r="J116" s="526">
        <v>0</v>
      </c>
      <c r="K116" s="526">
        <v>1</v>
      </c>
    </row>
    <row r="117" spans="1:12">
      <c r="A117" s="564" t="s">
        <v>277</v>
      </c>
      <c r="B117" s="561"/>
      <c r="C117" s="561"/>
      <c r="D117" s="561"/>
      <c r="E117" s="561"/>
      <c r="F117" s="561"/>
      <c r="G117" s="561"/>
      <c r="H117" s="561"/>
      <c r="I117" s="562"/>
      <c r="J117" s="565">
        <v>40</v>
      </c>
      <c r="K117" s="565">
        <v>540</v>
      </c>
      <c r="L117" s="565">
        <v>120</v>
      </c>
    </row>
    <row r="118" spans="1:12">
      <c r="A118" s="558"/>
      <c r="B118" s="558"/>
      <c r="C118" s="558"/>
      <c r="D118" s="558"/>
      <c r="E118" s="558"/>
      <c r="F118" s="558"/>
      <c r="G118" s="558"/>
      <c r="H118" s="558"/>
      <c r="I118" s="558"/>
      <c r="J118" s="566"/>
    </row>
    <row r="119" spans="1:12">
      <c r="A119" s="558"/>
      <c r="B119" s="558"/>
      <c r="C119" s="558"/>
      <c r="D119" s="558"/>
      <c r="E119" s="558"/>
      <c r="F119" s="558"/>
      <c r="G119" s="558"/>
      <c r="H119" s="558"/>
      <c r="I119" s="558"/>
      <c r="J119" s="516" t="s">
        <v>256</v>
      </c>
    </row>
    <row r="120" spans="1:12">
      <c r="A120" s="523" t="s">
        <v>268</v>
      </c>
      <c r="B120" s="538"/>
      <c r="C120" s="538"/>
      <c r="D120" s="538"/>
      <c r="E120" s="538"/>
      <c r="F120" s="538"/>
      <c r="G120" s="538"/>
      <c r="H120" s="538"/>
      <c r="I120" s="538"/>
      <c r="J120" s="526">
        <v>1627</v>
      </c>
    </row>
    <row r="121" spans="1:12">
      <c r="A121" s="523" t="s">
        <v>269</v>
      </c>
      <c r="B121" s="538"/>
      <c r="C121" s="538"/>
      <c r="D121" s="538"/>
      <c r="E121" s="538"/>
      <c r="F121" s="538"/>
      <c r="G121" s="538"/>
      <c r="H121" s="538"/>
      <c r="I121" s="538"/>
      <c r="J121" s="526">
        <v>51</v>
      </c>
    </row>
    <row r="122" spans="1:12">
      <c r="A122" s="523" t="s">
        <v>270</v>
      </c>
      <c r="B122" s="538"/>
      <c r="C122" s="538"/>
      <c r="D122" s="538"/>
      <c r="E122" s="538"/>
      <c r="F122" s="538"/>
      <c r="G122" s="538"/>
      <c r="H122" s="538"/>
      <c r="I122" s="538"/>
      <c r="J122" s="526">
        <v>0</v>
      </c>
    </row>
    <row r="123" spans="1:12">
      <c r="A123" s="523" t="s">
        <v>260</v>
      </c>
      <c r="B123" s="538"/>
      <c r="C123" s="538"/>
      <c r="D123" s="538"/>
      <c r="E123" s="538"/>
      <c r="F123" s="538"/>
      <c r="G123" s="538"/>
      <c r="H123" s="538"/>
      <c r="I123" s="538"/>
      <c r="J123" s="526">
        <v>0</v>
      </c>
    </row>
    <row r="124" spans="1:12" ht="25.5" customHeight="1">
      <c r="A124" s="669" t="s">
        <v>261</v>
      </c>
      <c r="B124" s="670"/>
      <c r="C124" s="670"/>
      <c r="D124" s="670"/>
      <c r="E124" s="670"/>
      <c r="F124" s="670"/>
      <c r="G124" s="670"/>
      <c r="H124" s="670"/>
      <c r="I124" s="671"/>
      <c r="J124" s="526">
        <v>487</v>
      </c>
    </row>
    <row r="125" spans="1:12">
      <c r="A125" s="558"/>
      <c r="B125" s="558"/>
      <c r="C125" s="558"/>
      <c r="D125" s="558"/>
      <c r="E125" s="558"/>
      <c r="F125" s="558"/>
      <c r="G125" s="558"/>
      <c r="H125" s="558"/>
      <c r="I125" s="558"/>
      <c r="J125" s="566"/>
    </row>
    <row r="126" spans="1:12">
      <c r="A126" s="557" t="s">
        <v>278</v>
      </c>
      <c r="B126" s="513"/>
      <c r="C126" s="513"/>
      <c r="D126" s="513"/>
      <c r="E126" s="513"/>
      <c r="F126" s="513"/>
      <c r="G126" s="513"/>
      <c r="H126" s="513"/>
      <c r="I126" s="513"/>
      <c r="J126" s="513"/>
      <c r="K126" s="513"/>
    </row>
    <row r="127" spans="1:12" ht="25.2">
      <c r="A127" s="555"/>
      <c r="B127" s="509"/>
      <c r="C127" s="509"/>
      <c r="D127" s="509"/>
      <c r="E127" s="509"/>
      <c r="F127" s="509"/>
      <c r="G127" s="509"/>
      <c r="H127" s="509"/>
      <c r="I127" s="509"/>
      <c r="J127" s="516"/>
      <c r="K127" s="516" t="s">
        <v>248</v>
      </c>
      <c r="L127" s="559" t="s">
        <v>249</v>
      </c>
    </row>
    <row r="128" spans="1:12">
      <c r="A128" s="523" t="s">
        <v>279</v>
      </c>
      <c r="B128" s="538"/>
      <c r="C128" s="538"/>
      <c r="D128" s="538"/>
      <c r="E128" s="538"/>
      <c r="F128" s="538"/>
      <c r="G128" s="538"/>
      <c r="H128" s="538"/>
      <c r="I128" s="539"/>
      <c r="J128" s="526">
        <v>0</v>
      </c>
      <c r="K128" s="526">
        <v>0</v>
      </c>
    </row>
    <row r="129" spans="1:12">
      <c r="A129" s="523" t="s">
        <v>280</v>
      </c>
      <c r="B129" s="538"/>
      <c r="C129" s="538"/>
      <c r="D129" s="538"/>
      <c r="E129" s="538"/>
      <c r="F129" s="538"/>
      <c r="G129" s="538"/>
      <c r="H129" s="538"/>
      <c r="I129" s="539"/>
      <c r="J129" s="526">
        <v>0</v>
      </c>
      <c r="K129" s="526">
        <v>0</v>
      </c>
    </row>
    <row r="130" spans="1:12">
      <c r="A130" s="560" t="s">
        <v>281</v>
      </c>
      <c r="B130" s="538"/>
      <c r="C130" s="538"/>
      <c r="D130" s="538"/>
      <c r="E130" s="538"/>
      <c r="F130" s="538"/>
      <c r="G130" s="538"/>
      <c r="H130" s="538"/>
      <c r="I130" s="539"/>
      <c r="J130" s="526">
        <v>0</v>
      </c>
      <c r="K130" s="526">
        <v>0</v>
      </c>
      <c r="L130" s="526">
        <v>1</v>
      </c>
    </row>
    <row r="131" spans="1:12">
      <c r="A131" s="564" t="s">
        <v>282</v>
      </c>
      <c r="B131" s="538"/>
      <c r="C131" s="538"/>
      <c r="D131" s="538"/>
      <c r="E131" s="538"/>
      <c r="F131" s="538"/>
      <c r="G131" s="538"/>
      <c r="H131" s="538"/>
      <c r="I131" s="539"/>
      <c r="J131" s="565">
        <v>0</v>
      </c>
      <c r="K131" s="565">
        <v>0</v>
      </c>
      <c r="L131" s="565">
        <v>271.8</v>
      </c>
    </row>
    <row r="132" spans="1:12">
      <c r="A132" s="558"/>
      <c r="B132" s="555"/>
      <c r="C132" s="555"/>
      <c r="D132" s="555"/>
      <c r="E132" s="555"/>
      <c r="F132" s="555"/>
      <c r="G132" s="555"/>
      <c r="H132" s="555"/>
      <c r="I132" s="555"/>
    </row>
    <row r="133" spans="1:12">
      <c r="A133" s="558"/>
      <c r="B133" s="555"/>
      <c r="C133" s="555"/>
      <c r="D133" s="555"/>
      <c r="E133" s="555"/>
      <c r="F133" s="555"/>
      <c r="G133" s="555"/>
      <c r="H133" s="555"/>
      <c r="I133" s="555"/>
      <c r="J133" s="516" t="s">
        <v>256</v>
      </c>
    </row>
    <row r="134" spans="1:12">
      <c r="A134" s="523" t="s">
        <v>268</v>
      </c>
      <c r="B134" s="538"/>
      <c r="C134" s="538"/>
      <c r="D134" s="538"/>
      <c r="E134" s="538"/>
      <c r="F134" s="538"/>
      <c r="G134" s="538"/>
      <c r="H134" s="538"/>
      <c r="I134" s="538"/>
      <c r="J134" s="526">
        <v>0</v>
      </c>
    </row>
    <row r="135" spans="1:12">
      <c r="A135" s="523" t="s">
        <v>269</v>
      </c>
      <c r="B135" s="538"/>
      <c r="C135" s="538"/>
      <c r="D135" s="538"/>
      <c r="E135" s="538"/>
      <c r="F135" s="538"/>
      <c r="G135" s="538"/>
      <c r="H135" s="538"/>
      <c r="I135" s="538"/>
      <c r="J135" s="526">
        <v>0</v>
      </c>
    </row>
    <row r="136" spans="1:12">
      <c r="A136" s="523" t="s">
        <v>270</v>
      </c>
      <c r="B136" s="538"/>
      <c r="C136" s="538"/>
      <c r="D136" s="538"/>
      <c r="E136" s="538"/>
      <c r="F136" s="538"/>
      <c r="G136" s="538"/>
      <c r="H136" s="538"/>
      <c r="I136" s="538"/>
      <c r="J136" s="526">
        <v>0</v>
      </c>
    </row>
    <row r="137" spans="1:12">
      <c r="A137" s="523" t="s">
        <v>260</v>
      </c>
      <c r="B137" s="538"/>
      <c r="C137" s="538"/>
      <c r="D137" s="538"/>
      <c r="E137" s="538"/>
      <c r="F137" s="538"/>
      <c r="G137" s="538"/>
      <c r="H137" s="538"/>
      <c r="I137" s="538"/>
      <c r="J137" s="526">
        <v>0</v>
      </c>
    </row>
    <row r="138" spans="1:12" ht="24.75" customHeight="1">
      <c r="A138" s="669" t="s">
        <v>261</v>
      </c>
      <c r="B138" s="670"/>
      <c r="C138" s="670"/>
      <c r="D138" s="670"/>
      <c r="E138" s="670"/>
      <c r="F138" s="670"/>
      <c r="G138" s="670"/>
      <c r="H138" s="670"/>
      <c r="I138" s="671"/>
      <c r="J138" s="526">
        <v>0</v>
      </c>
    </row>
    <row r="139" spans="1:12">
      <c r="A139" s="555"/>
      <c r="B139" s="509"/>
      <c r="C139" s="509"/>
      <c r="D139" s="509"/>
      <c r="E139" s="509"/>
      <c r="F139" s="509"/>
      <c r="G139" s="509"/>
      <c r="H139" s="509"/>
      <c r="I139" s="509"/>
    </row>
    <row r="140" spans="1:12">
      <c r="A140" s="557" t="s">
        <v>283</v>
      </c>
      <c r="B140" s="513"/>
      <c r="C140" s="513"/>
      <c r="D140" s="513"/>
      <c r="E140" s="513"/>
      <c r="F140" s="513"/>
      <c r="G140" s="513"/>
      <c r="H140" s="513"/>
      <c r="I140" s="513"/>
      <c r="J140" s="513"/>
      <c r="K140" s="513"/>
    </row>
    <row r="141" spans="1:12" ht="25.2">
      <c r="A141" s="558"/>
      <c r="B141" s="567"/>
      <c r="C141" s="567"/>
      <c r="D141" s="567"/>
      <c r="E141" s="567"/>
      <c r="F141" s="567"/>
      <c r="G141" s="567"/>
      <c r="H141" s="567"/>
      <c r="I141" s="567"/>
      <c r="J141" s="516"/>
      <c r="K141" s="516" t="s">
        <v>248</v>
      </c>
      <c r="L141" s="559" t="s">
        <v>249</v>
      </c>
    </row>
    <row r="142" spans="1:12">
      <c r="A142" s="560" t="s">
        <v>284</v>
      </c>
      <c r="B142" s="568"/>
      <c r="C142" s="568"/>
      <c r="D142" s="568"/>
      <c r="E142" s="568"/>
      <c r="F142" s="568"/>
      <c r="G142" s="568"/>
      <c r="H142" s="568"/>
      <c r="I142" s="569"/>
      <c r="J142" s="563">
        <f>J143+J144</f>
        <v>0</v>
      </c>
      <c r="K142" s="563">
        <f>K143+K144</f>
        <v>658</v>
      </c>
    </row>
    <row r="143" spans="1:12">
      <c r="A143" s="560" t="s">
        <v>285</v>
      </c>
      <c r="B143" s="568"/>
      <c r="C143" s="568"/>
      <c r="D143" s="568"/>
      <c r="E143" s="568"/>
      <c r="F143" s="568"/>
      <c r="G143" s="568"/>
      <c r="H143" s="568"/>
      <c r="I143" s="569"/>
      <c r="J143" s="526">
        <v>0</v>
      </c>
      <c r="K143" s="526">
        <v>658</v>
      </c>
    </row>
    <row r="144" spans="1:12">
      <c r="A144" s="560" t="s">
        <v>286</v>
      </c>
      <c r="B144" s="568"/>
      <c r="C144" s="568"/>
      <c r="D144" s="568"/>
      <c r="E144" s="568"/>
      <c r="F144" s="568"/>
      <c r="G144" s="568"/>
      <c r="H144" s="568"/>
      <c r="I144" s="569"/>
      <c r="J144" s="526">
        <v>0</v>
      </c>
      <c r="K144" s="526">
        <v>0</v>
      </c>
    </row>
    <row r="145" spans="1:12">
      <c r="A145" s="560" t="s">
        <v>287</v>
      </c>
      <c r="B145" s="568"/>
      <c r="C145" s="568"/>
      <c r="D145" s="568"/>
      <c r="E145" s="568"/>
      <c r="F145" s="568"/>
      <c r="G145" s="568"/>
      <c r="H145" s="568"/>
      <c r="I145" s="569"/>
      <c r="J145" s="526">
        <v>0</v>
      </c>
      <c r="K145" s="526">
        <v>0</v>
      </c>
      <c r="L145" s="526">
        <v>0</v>
      </c>
    </row>
    <row r="146" spans="1:12">
      <c r="A146" s="560" t="s">
        <v>288</v>
      </c>
      <c r="B146" s="568"/>
      <c r="C146" s="568"/>
      <c r="D146" s="568"/>
      <c r="E146" s="568"/>
      <c r="F146" s="568"/>
      <c r="G146" s="568"/>
      <c r="H146" s="568"/>
      <c r="I146" s="569"/>
      <c r="J146" s="526">
        <v>0</v>
      </c>
      <c r="K146" s="526">
        <v>0</v>
      </c>
    </row>
    <row r="147" spans="1:12">
      <c r="A147" s="564" t="s">
        <v>289</v>
      </c>
      <c r="B147" s="568"/>
      <c r="C147" s="568"/>
      <c r="D147" s="568"/>
      <c r="E147" s="568"/>
      <c r="F147" s="568"/>
      <c r="G147" s="568"/>
      <c r="H147" s="568"/>
      <c r="I147" s="569"/>
      <c r="J147" s="565">
        <v>0</v>
      </c>
      <c r="K147" s="565">
        <v>0</v>
      </c>
      <c r="L147" s="565">
        <v>0</v>
      </c>
    </row>
    <row r="148" spans="1:12">
      <c r="A148" s="558"/>
      <c r="B148" s="570"/>
      <c r="C148" s="570"/>
      <c r="D148" s="570"/>
      <c r="E148" s="570"/>
      <c r="F148" s="570"/>
      <c r="G148" s="570"/>
      <c r="H148" s="570"/>
      <c r="I148" s="570"/>
      <c r="J148" s="566"/>
    </row>
    <row r="149" spans="1:12">
      <c r="A149" s="558"/>
      <c r="B149" s="570"/>
      <c r="C149" s="570"/>
      <c r="D149" s="570"/>
      <c r="E149" s="570"/>
      <c r="F149" s="570"/>
      <c r="G149" s="570"/>
      <c r="H149" s="570"/>
      <c r="I149" s="570"/>
      <c r="J149" s="516" t="s">
        <v>256</v>
      </c>
    </row>
    <row r="150" spans="1:12">
      <c r="A150" s="523" t="s">
        <v>268</v>
      </c>
      <c r="B150" s="538"/>
      <c r="C150" s="538"/>
      <c r="D150" s="538"/>
      <c r="E150" s="538"/>
      <c r="F150" s="538"/>
      <c r="G150" s="538"/>
      <c r="H150" s="538"/>
      <c r="I150" s="538"/>
      <c r="J150" s="526">
        <v>397</v>
      </c>
    </row>
    <row r="151" spans="1:12">
      <c r="A151" s="523" t="s">
        <v>269</v>
      </c>
      <c r="B151" s="538"/>
      <c r="C151" s="538"/>
      <c r="D151" s="538"/>
      <c r="E151" s="538"/>
      <c r="F151" s="538"/>
      <c r="G151" s="538"/>
      <c r="H151" s="538"/>
      <c r="I151" s="538"/>
      <c r="J151" s="526">
        <v>0</v>
      </c>
    </row>
    <row r="152" spans="1:12">
      <c r="A152" s="523" t="s">
        <v>270</v>
      </c>
      <c r="B152" s="538"/>
      <c r="C152" s="538"/>
      <c r="D152" s="538"/>
      <c r="E152" s="538"/>
      <c r="F152" s="538"/>
      <c r="G152" s="538"/>
      <c r="H152" s="538"/>
      <c r="I152" s="538"/>
      <c r="J152" s="526">
        <v>0</v>
      </c>
    </row>
    <row r="153" spans="1:12">
      <c r="A153" s="523" t="s">
        <v>260</v>
      </c>
      <c r="B153" s="538"/>
      <c r="C153" s="538"/>
      <c r="D153" s="538"/>
      <c r="E153" s="538"/>
      <c r="F153" s="538"/>
      <c r="G153" s="538"/>
      <c r="H153" s="538"/>
      <c r="I153" s="538"/>
      <c r="J153" s="571">
        <v>0</v>
      </c>
    </row>
    <row r="154" spans="1:12" ht="26.25" customHeight="1">
      <c r="A154" s="669" t="s">
        <v>261</v>
      </c>
      <c r="B154" s="670"/>
      <c r="C154" s="670"/>
      <c r="D154" s="670"/>
      <c r="E154" s="670"/>
      <c r="F154" s="670"/>
      <c r="G154" s="670"/>
      <c r="H154" s="670"/>
      <c r="I154" s="671"/>
      <c r="J154" s="526">
        <v>397</v>
      </c>
    </row>
    <row r="155" spans="1:12">
      <c r="A155" s="555"/>
      <c r="B155" s="509"/>
      <c r="C155" s="509"/>
      <c r="D155" s="509"/>
      <c r="E155" s="509"/>
      <c r="F155" s="509"/>
      <c r="G155" s="509"/>
      <c r="H155" s="509"/>
      <c r="I155" s="509"/>
      <c r="J155" s="509"/>
    </row>
    <row r="156" spans="1:12">
      <c r="A156" s="557" t="s">
        <v>290</v>
      </c>
      <c r="B156" s="513"/>
      <c r="C156" s="513"/>
      <c r="D156" s="513"/>
      <c r="E156" s="513"/>
      <c r="F156" s="513"/>
      <c r="G156" s="513"/>
      <c r="H156" s="513"/>
      <c r="I156" s="513"/>
      <c r="J156" s="513"/>
      <c r="K156" s="513"/>
    </row>
    <row r="157" spans="1:12" ht="25.2">
      <c r="A157" s="555"/>
      <c r="B157" s="509"/>
      <c r="C157" s="509"/>
      <c r="D157" s="509"/>
      <c r="E157" s="509"/>
      <c r="F157" s="509"/>
      <c r="G157" s="509"/>
      <c r="H157" s="509"/>
      <c r="I157" s="509"/>
      <c r="J157" s="516"/>
      <c r="K157" s="516" t="s">
        <v>291</v>
      </c>
      <c r="L157" s="559" t="s">
        <v>249</v>
      </c>
    </row>
    <row r="158" spans="1:12">
      <c r="A158" s="560" t="s">
        <v>292</v>
      </c>
      <c r="B158" s="568"/>
      <c r="C158" s="568"/>
      <c r="D158" s="568"/>
      <c r="E158" s="568"/>
      <c r="F158" s="568"/>
      <c r="G158" s="568"/>
      <c r="H158" s="568"/>
      <c r="I158" s="569"/>
      <c r="J158" s="563">
        <f>J159+J160</f>
        <v>6950</v>
      </c>
      <c r="K158" s="563">
        <f>K159+K160</f>
        <v>2216</v>
      </c>
    </row>
    <row r="159" spans="1:12">
      <c r="A159" s="560" t="s">
        <v>293</v>
      </c>
      <c r="B159" s="568"/>
      <c r="C159" s="568"/>
      <c r="D159" s="568"/>
      <c r="E159" s="568"/>
      <c r="F159" s="568"/>
      <c r="G159" s="568"/>
      <c r="H159" s="568"/>
      <c r="I159" s="569"/>
      <c r="J159" s="571">
        <v>6944</v>
      </c>
      <c r="K159" s="571">
        <v>2215</v>
      </c>
    </row>
    <row r="160" spans="1:12">
      <c r="A160" s="560" t="s">
        <v>294</v>
      </c>
      <c r="B160" s="568"/>
      <c r="C160" s="568"/>
      <c r="D160" s="568"/>
      <c r="E160" s="568"/>
      <c r="F160" s="568"/>
      <c r="G160" s="568"/>
      <c r="H160" s="568"/>
      <c r="I160" s="569"/>
      <c r="J160" s="571">
        <v>6</v>
      </c>
      <c r="K160" s="571">
        <v>1</v>
      </c>
    </row>
    <row r="161" spans="1:12">
      <c r="A161" s="560" t="s">
        <v>295</v>
      </c>
      <c r="B161" s="568"/>
      <c r="C161" s="568"/>
      <c r="D161" s="568"/>
      <c r="E161" s="568"/>
      <c r="F161" s="568"/>
      <c r="G161" s="568"/>
      <c r="H161" s="568"/>
      <c r="I161" s="569"/>
      <c r="J161" s="572">
        <v>41.5</v>
      </c>
      <c r="K161" s="571">
        <v>3</v>
      </c>
      <c r="L161" s="571">
        <v>8</v>
      </c>
    </row>
    <row r="162" spans="1:12">
      <c r="A162" s="560" t="s">
        <v>296</v>
      </c>
      <c r="B162" s="568"/>
      <c r="C162" s="568"/>
      <c r="D162" s="568"/>
      <c r="E162" s="568"/>
      <c r="F162" s="568"/>
      <c r="G162" s="568"/>
      <c r="H162" s="568"/>
      <c r="I162" s="569"/>
      <c r="J162" s="571">
        <v>1</v>
      </c>
      <c r="K162" s="571">
        <v>0</v>
      </c>
    </row>
    <row r="163" spans="1:12">
      <c r="A163" s="564" t="s">
        <v>297</v>
      </c>
      <c r="B163" s="568"/>
      <c r="C163" s="568"/>
      <c r="D163" s="568"/>
      <c r="E163" s="568"/>
      <c r="F163" s="568"/>
      <c r="G163" s="568"/>
      <c r="H163" s="568"/>
      <c r="I163" s="569"/>
      <c r="J163" s="573">
        <v>830</v>
      </c>
      <c r="K163" s="573">
        <v>60</v>
      </c>
      <c r="L163" s="573">
        <v>997.8</v>
      </c>
    </row>
    <row r="164" spans="1:12">
      <c r="A164" s="558"/>
      <c r="B164" s="570"/>
      <c r="C164" s="570"/>
      <c r="D164" s="570"/>
      <c r="E164" s="570"/>
      <c r="F164" s="570"/>
      <c r="G164" s="570"/>
      <c r="H164" s="570"/>
      <c r="I164" s="570"/>
      <c r="J164" s="566"/>
    </row>
    <row r="165" spans="1:12">
      <c r="A165" s="557" t="s">
        <v>298</v>
      </c>
      <c r="B165" s="513"/>
      <c r="C165" s="513"/>
      <c r="D165" s="513"/>
      <c r="E165" s="513"/>
      <c r="F165" s="513"/>
      <c r="G165" s="513"/>
      <c r="H165" s="513"/>
      <c r="I165" s="513"/>
      <c r="J165" s="513"/>
      <c r="K165" s="513"/>
    </row>
    <row r="166" spans="1:12" ht="25.2">
      <c r="A166" s="555"/>
      <c r="B166" s="509"/>
      <c r="C166" s="509"/>
      <c r="D166" s="509"/>
      <c r="E166" s="509"/>
      <c r="F166" s="509"/>
      <c r="G166" s="509"/>
      <c r="H166" s="509"/>
      <c r="I166" s="509"/>
      <c r="J166" s="516"/>
      <c r="K166" s="516" t="s">
        <v>248</v>
      </c>
      <c r="L166" s="559" t="s">
        <v>249</v>
      </c>
    </row>
    <row r="167" spans="1:12">
      <c r="A167" s="560" t="s">
        <v>299</v>
      </c>
      <c r="B167" s="568"/>
      <c r="C167" s="568"/>
      <c r="D167" s="568"/>
      <c r="E167" s="568"/>
      <c r="F167" s="568"/>
      <c r="G167" s="568"/>
      <c r="H167" s="568"/>
      <c r="I167" s="569"/>
      <c r="J167" s="563">
        <f>J168+J169</f>
        <v>44</v>
      </c>
      <c r="K167" s="563">
        <f>K168+K169</f>
        <v>139</v>
      </c>
    </row>
    <row r="168" spans="1:12">
      <c r="A168" s="560" t="s">
        <v>300</v>
      </c>
      <c r="B168" s="568"/>
      <c r="C168" s="568"/>
      <c r="D168" s="568"/>
      <c r="E168" s="568"/>
      <c r="F168" s="568"/>
      <c r="G168" s="568"/>
      <c r="H168" s="568"/>
      <c r="I168" s="569"/>
      <c r="J168" s="571">
        <v>42</v>
      </c>
      <c r="K168" s="571">
        <v>139</v>
      </c>
    </row>
    <row r="169" spans="1:12">
      <c r="A169" s="560" t="s">
        <v>301</v>
      </c>
      <c r="B169" s="568"/>
      <c r="C169" s="568"/>
      <c r="D169" s="568"/>
      <c r="E169" s="568"/>
      <c r="F169" s="568"/>
      <c r="G169" s="568"/>
      <c r="H169" s="568"/>
      <c r="I169" s="569"/>
      <c r="J169" s="571">
        <v>2</v>
      </c>
      <c r="K169" s="571">
        <v>0</v>
      </c>
    </row>
    <row r="170" spans="1:12">
      <c r="A170" s="560" t="s">
        <v>302</v>
      </c>
      <c r="B170" s="568"/>
      <c r="C170" s="568"/>
      <c r="D170" s="568"/>
      <c r="E170" s="568"/>
      <c r="F170" s="568"/>
      <c r="G170" s="568"/>
      <c r="H170" s="568"/>
      <c r="I170" s="569"/>
      <c r="J170" s="572">
        <v>14.5</v>
      </c>
      <c r="K170" s="571">
        <v>0</v>
      </c>
      <c r="L170" s="571">
        <v>2</v>
      </c>
    </row>
    <row r="171" spans="1:12">
      <c r="A171" s="560" t="s">
        <v>303</v>
      </c>
      <c r="B171" s="568"/>
      <c r="C171" s="568"/>
      <c r="D171" s="568"/>
      <c r="E171" s="568"/>
      <c r="F171" s="568"/>
      <c r="G171" s="568"/>
      <c r="H171" s="568"/>
      <c r="I171" s="569"/>
      <c r="J171" s="571">
        <v>1</v>
      </c>
      <c r="K171" s="571">
        <v>0</v>
      </c>
    </row>
    <row r="172" spans="1:12">
      <c r="A172" s="564" t="s">
        <v>304</v>
      </c>
      <c r="B172" s="568"/>
      <c r="C172" s="568"/>
      <c r="D172" s="568"/>
      <c r="E172" s="568"/>
      <c r="F172" s="568"/>
      <c r="G172" s="568"/>
      <c r="H172" s="568"/>
      <c r="I172" s="569"/>
      <c r="J172" s="573">
        <v>580</v>
      </c>
      <c r="K172" s="573">
        <v>0</v>
      </c>
      <c r="L172" s="573">
        <v>580</v>
      </c>
    </row>
    <row r="173" spans="1:12">
      <c r="A173" s="558"/>
      <c r="B173" s="570"/>
      <c r="C173" s="570"/>
      <c r="D173" s="570"/>
      <c r="E173" s="570"/>
      <c r="F173" s="570"/>
      <c r="G173" s="570"/>
      <c r="H173" s="570"/>
      <c r="I173" s="570"/>
      <c r="J173" s="566"/>
    </row>
    <row r="174" spans="1:12">
      <c r="A174" s="557" t="s">
        <v>305</v>
      </c>
      <c r="B174" s="513"/>
      <c r="C174" s="513"/>
      <c r="D174" s="513"/>
      <c r="E174" s="513"/>
      <c r="F174" s="513"/>
      <c r="G174" s="513"/>
      <c r="H174" s="513"/>
      <c r="I174" s="513"/>
      <c r="J174" s="513"/>
      <c r="K174" s="513"/>
    </row>
    <row r="175" spans="1:12" ht="25.2">
      <c r="A175" s="514" t="s">
        <v>306</v>
      </c>
      <c r="B175" s="543"/>
      <c r="C175" s="543"/>
      <c r="D175" s="543"/>
      <c r="E175" s="543"/>
      <c r="F175" s="543"/>
      <c r="G175" s="543"/>
      <c r="H175" s="543"/>
      <c r="I175" s="543"/>
      <c r="J175" s="516"/>
      <c r="K175" s="516" t="s">
        <v>248</v>
      </c>
      <c r="L175" s="559" t="s">
        <v>249</v>
      </c>
    </row>
    <row r="176" spans="1:12">
      <c r="A176" s="523" t="s">
        <v>307</v>
      </c>
      <c r="B176" s="524"/>
      <c r="C176" s="524"/>
      <c r="D176" s="524"/>
      <c r="E176" s="524"/>
      <c r="F176" s="524"/>
      <c r="G176" s="524"/>
      <c r="H176" s="524"/>
      <c r="I176" s="525"/>
      <c r="J176" s="571">
        <v>5966</v>
      </c>
      <c r="K176" s="571">
        <v>1500</v>
      </c>
    </row>
    <row r="177" spans="1:12">
      <c r="A177" s="523" t="s">
        <v>308</v>
      </c>
      <c r="B177" s="524"/>
      <c r="C177" s="524"/>
      <c r="D177" s="524"/>
      <c r="E177" s="524"/>
      <c r="F177" s="524"/>
      <c r="G177" s="524"/>
      <c r="H177" s="524"/>
      <c r="I177" s="525"/>
      <c r="J177" s="571">
        <v>169</v>
      </c>
      <c r="K177" s="571">
        <v>42</v>
      </c>
    </row>
    <row r="178" spans="1:12">
      <c r="A178" s="523" t="s">
        <v>309</v>
      </c>
      <c r="B178" s="524"/>
      <c r="C178" s="524"/>
      <c r="D178" s="524"/>
      <c r="E178" s="524"/>
      <c r="F178" s="524"/>
      <c r="G178" s="524"/>
      <c r="H178" s="524"/>
      <c r="I178" s="525"/>
      <c r="J178" s="571">
        <v>659</v>
      </c>
      <c r="K178" s="571">
        <v>162</v>
      </c>
      <c r="L178" s="574">
        <v>194</v>
      </c>
    </row>
    <row r="179" spans="1:12">
      <c r="A179" s="523" t="s">
        <v>310</v>
      </c>
      <c r="B179" s="524"/>
      <c r="C179" s="524"/>
      <c r="D179" s="524"/>
      <c r="E179" s="524"/>
      <c r="F179" s="524"/>
      <c r="G179" s="524"/>
      <c r="H179" s="524"/>
      <c r="I179" s="525"/>
      <c r="J179" s="571">
        <v>38</v>
      </c>
      <c r="K179" s="571">
        <v>12</v>
      </c>
    </row>
    <row r="180" spans="1:12">
      <c r="A180" s="530" t="s">
        <v>311</v>
      </c>
      <c r="B180" s="524"/>
      <c r="C180" s="524"/>
      <c r="D180" s="524"/>
      <c r="E180" s="524"/>
      <c r="F180" s="524"/>
      <c r="G180" s="524"/>
      <c r="H180" s="524"/>
      <c r="I180" s="525"/>
      <c r="J180" s="573">
        <v>13180</v>
      </c>
      <c r="K180" s="573">
        <v>3240</v>
      </c>
      <c r="L180" s="573">
        <v>13097.11</v>
      </c>
    </row>
    <row r="181" spans="1:12">
      <c r="A181" s="509"/>
      <c r="B181" s="509"/>
      <c r="C181" s="509"/>
      <c r="D181" s="509"/>
      <c r="E181" s="509"/>
      <c r="F181" s="509"/>
      <c r="G181" s="509"/>
      <c r="H181" s="509"/>
      <c r="I181" s="509"/>
      <c r="J181" s="509"/>
      <c r="K181" s="575"/>
    </row>
    <row r="182" spans="1:12" ht="25.2">
      <c r="A182" s="514" t="s">
        <v>312</v>
      </c>
      <c r="B182" s="543"/>
      <c r="C182" s="543"/>
      <c r="D182" s="543"/>
      <c r="E182" s="543"/>
      <c r="F182" s="543"/>
      <c r="G182" s="543"/>
      <c r="H182" s="543"/>
      <c r="I182" s="543"/>
      <c r="J182" s="516"/>
      <c r="K182" s="516" t="s">
        <v>248</v>
      </c>
      <c r="L182" s="559" t="s">
        <v>249</v>
      </c>
    </row>
    <row r="183" spans="1:12">
      <c r="A183" s="523" t="s">
        <v>313</v>
      </c>
      <c r="B183" s="524"/>
      <c r="C183" s="524"/>
      <c r="D183" s="524"/>
      <c r="E183" s="524"/>
      <c r="F183" s="524"/>
      <c r="G183" s="524"/>
      <c r="H183" s="524"/>
      <c r="I183" s="525"/>
      <c r="J183" s="574">
        <v>590</v>
      </c>
      <c r="K183" s="574">
        <v>582</v>
      </c>
    </row>
    <row r="184" spans="1:12">
      <c r="A184" s="523" t="s">
        <v>314</v>
      </c>
      <c r="B184" s="524"/>
      <c r="C184" s="524"/>
      <c r="D184" s="524"/>
      <c r="E184" s="524"/>
      <c r="F184" s="524"/>
      <c r="G184" s="524"/>
      <c r="H184" s="524"/>
      <c r="I184" s="525"/>
      <c r="J184" s="574">
        <v>35</v>
      </c>
      <c r="K184" s="574">
        <v>28</v>
      </c>
    </row>
    <row r="185" spans="1:12">
      <c r="A185" s="523" t="s">
        <v>315</v>
      </c>
      <c r="B185" s="524"/>
      <c r="C185" s="524"/>
      <c r="D185" s="524"/>
      <c r="E185" s="524"/>
      <c r="F185" s="524"/>
      <c r="G185" s="524"/>
      <c r="H185" s="524"/>
      <c r="I185" s="525"/>
      <c r="J185" s="574">
        <v>142</v>
      </c>
      <c r="K185" s="574">
        <v>107</v>
      </c>
      <c r="L185" s="574">
        <v>49</v>
      </c>
    </row>
    <row r="186" spans="1:12">
      <c r="A186" s="523" t="s">
        <v>316</v>
      </c>
      <c r="B186" s="524"/>
      <c r="C186" s="524"/>
      <c r="D186" s="524"/>
      <c r="E186" s="524"/>
      <c r="F186" s="524"/>
      <c r="G186" s="524"/>
      <c r="H186" s="524"/>
      <c r="I186" s="525"/>
      <c r="J186" s="574">
        <v>9</v>
      </c>
      <c r="K186" s="574">
        <v>5</v>
      </c>
    </row>
    <row r="187" spans="1:12">
      <c r="A187" s="530" t="s">
        <v>317</v>
      </c>
      <c r="B187" s="524"/>
      <c r="C187" s="524"/>
      <c r="D187" s="524"/>
      <c r="E187" s="524"/>
      <c r="F187" s="524"/>
      <c r="G187" s="524"/>
      <c r="H187" s="524"/>
      <c r="I187" s="525"/>
      <c r="J187" s="573">
        <v>6703.4714999999997</v>
      </c>
      <c r="K187" s="573">
        <v>5539.3814999999995</v>
      </c>
      <c r="L187" s="573">
        <v>9239.4</v>
      </c>
    </row>
    <row r="188" spans="1:12">
      <c r="A188" s="509"/>
      <c r="B188" s="509"/>
      <c r="C188" s="509"/>
      <c r="D188" s="509"/>
      <c r="E188" s="509"/>
      <c r="F188" s="509"/>
      <c r="G188" s="509"/>
      <c r="H188" s="509"/>
      <c r="I188" s="509"/>
      <c r="J188" s="509"/>
      <c r="K188" s="575"/>
    </row>
    <row r="189" spans="1:12" ht="25.2">
      <c r="A189" s="514" t="s">
        <v>318</v>
      </c>
      <c r="B189" s="543"/>
      <c r="C189" s="543"/>
      <c r="D189" s="543"/>
      <c r="E189" s="543"/>
      <c r="F189" s="543"/>
      <c r="G189" s="543"/>
      <c r="H189" s="543"/>
      <c r="I189" s="543"/>
      <c r="J189" s="516"/>
      <c r="K189" s="516" t="s">
        <v>248</v>
      </c>
      <c r="L189" s="559" t="s">
        <v>249</v>
      </c>
    </row>
    <row r="190" spans="1:12">
      <c r="A190" s="523" t="s">
        <v>319</v>
      </c>
      <c r="B190" s="524"/>
      <c r="C190" s="524"/>
      <c r="D190" s="524"/>
      <c r="E190" s="524"/>
      <c r="F190" s="524"/>
      <c r="G190" s="524"/>
      <c r="H190" s="524"/>
      <c r="I190" s="525"/>
      <c r="J190" s="571">
        <v>58</v>
      </c>
      <c r="K190" s="571">
        <v>111</v>
      </c>
    </row>
    <row r="191" spans="1:12">
      <c r="A191" s="523" t="s">
        <v>320</v>
      </c>
      <c r="B191" s="524"/>
      <c r="C191" s="524"/>
      <c r="D191" s="524"/>
      <c r="E191" s="524"/>
      <c r="F191" s="524"/>
      <c r="G191" s="524"/>
      <c r="H191" s="524"/>
      <c r="I191" s="525"/>
      <c r="J191" s="571">
        <v>7</v>
      </c>
      <c r="K191" s="571">
        <v>15</v>
      </c>
    </row>
    <row r="192" spans="1:12">
      <c r="A192" s="523" t="s">
        <v>321</v>
      </c>
      <c r="B192" s="524"/>
      <c r="C192" s="524"/>
      <c r="D192" s="524"/>
      <c r="E192" s="524"/>
      <c r="F192" s="524"/>
      <c r="G192" s="524"/>
      <c r="H192" s="524"/>
      <c r="I192" s="525"/>
      <c r="J192" s="571">
        <v>36</v>
      </c>
      <c r="K192" s="576">
        <v>126.917275</v>
      </c>
      <c r="L192" s="571">
        <v>16</v>
      </c>
    </row>
    <row r="193" spans="1:12">
      <c r="A193" s="523" t="s">
        <v>316</v>
      </c>
      <c r="B193" s="524"/>
      <c r="C193" s="524"/>
      <c r="D193" s="524"/>
      <c r="E193" s="524"/>
      <c r="F193" s="524"/>
      <c r="G193" s="524"/>
      <c r="H193" s="524"/>
      <c r="I193" s="525"/>
      <c r="J193" s="571">
        <v>0</v>
      </c>
      <c r="K193" s="571">
        <v>6</v>
      </c>
    </row>
    <row r="194" spans="1:12">
      <c r="A194" s="530" t="s">
        <v>322</v>
      </c>
      <c r="B194" s="524"/>
      <c r="C194" s="524"/>
      <c r="D194" s="524"/>
      <c r="E194" s="524"/>
      <c r="F194" s="524"/>
      <c r="G194" s="524"/>
      <c r="H194" s="524"/>
      <c r="I194" s="525"/>
      <c r="J194" s="573">
        <v>3600</v>
      </c>
      <c r="K194" s="573">
        <v>12691.727500000001</v>
      </c>
      <c r="L194" s="573">
        <v>10731.34</v>
      </c>
    </row>
    <row r="195" spans="1:12">
      <c r="A195" s="509"/>
      <c r="B195" s="509"/>
      <c r="C195" s="509"/>
      <c r="D195" s="509"/>
      <c r="E195" s="509"/>
      <c r="F195" s="509"/>
      <c r="G195" s="509"/>
      <c r="H195" s="509"/>
      <c r="I195" s="509"/>
      <c r="J195" s="509"/>
      <c r="K195" s="575"/>
    </row>
    <row r="196" spans="1:12" ht="25.2">
      <c r="A196" s="514" t="s">
        <v>323</v>
      </c>
      <c r="B196" s="543"/>
      <c r="C196" s="543"/>
      <c r="D196" s="543"/>
      <c r="E196" s="543"/>
      <c r="F196" s="543"/>
      <c r="G196" s="543"/>
      <c r="H196" s="543"/>
      <c r="I196" s="543"/>
      <c r="J196" s="516"/>
      <c r="K196" s="516" t="s">
        <v>248</v>
      </c>
      <c r="L196" s="559" t="s">
        <v>249</v>
      </c>
    </row>
    <row r="197" spans="1:12">
      <c r="A197" s="523" t="s">
        <v>324</v>
      </c>
      <c r="B197" s="524"/>
      <c r="C197" s="524"/>
      <c r="D197" s="524"/>
      <c r="E197" s="524"/>
      <c r="F197" s="524"/>
      <c r="G197" s="524"/>
      <c r="H197" s="524"/>
      <c r="I197" s="525"/>
      <c r="J197" s="574">
        <v>2</v>
      </c>
      <c r="K197" s="574">
        <v>8</v>
      </c>
    </row>
    <row r="198" spans="1:12">
      <c r="A198" s="523" t="s">
        <v>325</v>
      </c>
      <c r="B198" s="524"/>
      <c r="C198" s="524"/>
      <c r="D198" s="524"/>
      <c r="E198" s="524"/>
      <c r="F198" s="524"/>
      <c r="G198" s="524"/>
      <c r="H198" s="524"/>
      <c r="I198" s="525"/>
      <c r="J198" s="574">
        <v>0</v>
      </c>
      <c r="K198" s="574">
        <v>0</v>
      </c>
    </row>
    <row r="199" spans="1:12">
      <c r="A199" s="523" t="s">
        <v>326</v>
      </c>
      <c r="B199" s="524"/>
      <c r="C199" s="524"/>
      <c r="D199" s="524"/>
      <c r="E199" s="524"/>
      <c r="F199" s="524"/>
      <c r="G199" s="524"/>
      <c r="H199" s="524"/>
      <c r="I199" s="525"/>
      <c r="J199" s="574">
        <v>0</v>
      </c>
      <c r="K199" s="574">
        <v>0</v>
      </c>
      <c r="L199" s="574">
        <v>0</v>
      </c>
    </row>
    <row r="200" spans="1:12">
      <c r="A200" s="523" t="s">
        <v>327</v>
      </c>
      <c r="B200" s="524"/>
      <c r="C200" s="524"/>
      <c r="D200" s="524"/>
      <c r="E200" s="524"/>
      <c r="F200" s="524"/>
      <c r="G200" s="524"/>
      <c r="H200" s="524"/>
      <c r="I200" s="525"/>
      <c r="J200" s="574">
        <v>0</v>
      </c>
      <c r="K200" s="574">
        <v>0</v>
      </c>
    </row>
    <row r="201" spans="1:12">
      <c r="A201" s="530" t="s">
        <v>328</v>
      </c>
      <c r="B201" s="538"/>
      <c r="C201" s="538"/>
      <c r="D201" s="538"/>
      <c r="E201" s="538"/>
      <c r="F201" s="538"/>
      <c r="G201" s="538"/>
      <c r="H201" s="538"/>
      <c r="I201" s="539"/>
      <c r="J201" s="573">
        <v>0</v>
      </c>
      <c r="K201" s="573">
        <v>0</v>
      </c>
      <c r="L201" s="573">
        <v>0</v>
      </c>
    </row>
    <row r="202" spans="1:12">
      <c r="A202" s="509"/>
      <c r="B202" s="509"/>
      <c r="C202" s="509"/>
      <c r="D202" s="509"/>
      <c r="E202" s="509"/>
      <c r="F202" s="509"/>
      <c r="G202" s="509"/>
      <c r="H202" s="509"/>
      <c r="I202" s="509"/>
      <c r="J202" s="567"/>
      <c r="K202" s="577"/>
    </row>
    <row r="203" spans="1:12" ht="25.2">
      <c r="A203" s="514" t="s">
        <v>329</v>
      </c>
      <c r="B203" s="543"/>
      <c r="C203" s="543"/>
      <c r="D203" s="543"/>
      <c r="E203" s="543"/>
      <c r="F203" s="543"/>
      <c r="G203" s="543"/>
      <c r="H203" s="543"/>
      <c r="I203" s="543"/>
      <c r="J203" s="516"/>
      <c r="K203" s="516" t="s">
        <v>248</v>
      </c>
      <c r="L203" s="559" t="s">
        <v>249</v>
      </c>
    </row>
    <row r="204" spans="1:12">
      <c r="A204" s="523" t="s">
        <v>330</v>
      </c>
      <c r="B204" s="524"/>
      <c r="C204" s="524"/>
      <c r="D204" s="524"/>
      <c r="E204" s="524"/>
      <c r="F204" s="524"/>
      <c r="G204" s="524"/>
      <c r="H204" s="524"/>
      <c r="I204" s="525"/>
      <c r="J204" s="578">
        <v>0</v>
      </c>
      <c r="K204" s="578">
        <v>2</v>
      </c>
    </row>
    <row r="205" spans="1:12">
      <c r="A205" s="523" t="s">
        <v>331</v>
      </c>
      <c r="B205" s="524"/>
      <c r="C205" s="524"/>
      <c r="D205" s="524"/>
      <c r="E205" s="524"/>
      <c r="F205" s="524"/>
      <c r="G205" s="524"/>
      <c r="H205" s="524"/>
      <c r="I205" s="525"/>
      <c r="J205" s="578">
        <v>0</v>
      </c>
      <c r="K205" s="578">
        <v>0</v>
      </c>
    </row>
    <row r="206" spans="1:12">
      <c r="A206" s="523" t="s">
        <v>332</v>
      </c>
      <c r="B206" s="524"/>
      <c r="C206" s="524"/>
      <c r="D206" s="524"/>
      <c r="E206" s="524"/>
      <c r="F206" s="524"/>
      <c r="G206" s="524"/>
      <c r="H206" s="524"/>
      <c r="I206" s="525"/>
      <c r="J206" s="578">
        <v>0</v>
      </c>
      <c r="K206" s="578">
        <v>0</v>
      </c>
      <c r="L206" s="578">
        <v>0</v>
      </c>
    </row>
    <row r="207" spans="1:12">
      <c r="A207" s="523" t="s">
        <v>333</v>
      </c>
      <c r="B207" s="524"/>
      <c r="C207" s="524"/>
      <c r="D207" s="524"/>
      <c r="E207" s="524"/>
      <c r="F207" s="524"/>
      <c r="G207" s="524"/>
      <c r="H207" s="524"/>
      <c r="I207" s="525"/>
      <c r="J207" s="578">
        <v>0</v>
      </c>
      <c r="K207" s="578">
        <v>0</v>
      </c>
    </row>
    <row r="208" spans="1:12">
      <c r="A208" s="530" t="s">
        <v>334</v>
      </c>
      <c r="B208" s="538"/>
      <c r="C208" s="538"/>
      <c r="D208" s="538"/>
      <c r="E208" s="538"/>
      <c r="F208" s="538"/>
      <c r="G208" s="538"/>
      <c r="H208" s="538"/>
      <c r="I208" s="539"/>
      <c r="J208" s="573">
        <v>0</v>
      </c>
      <c r="K208" s="573">
        <v>0</v>
      </c>
      <c r="L208" s="573">
        <v>0</v>
      </c>
    </row>
    <row r="209" spans="1:12">
      <c r="A209" s="509"/>
      <c r="B209" s="509"/>
      <c r="C209" s="509"/>
      <c r="D209" s="509"/>
      <c r="E209" s="509"/>
      <c r="F209" s="509"/>
      <c r="G209" s="509"/>
      <c r="H209" s="509"/>
      <c r="I209" s="509"/>
      <c r="J209" s="509"/>
      <c r="K209" s="575"/>
    </row>
    <row r="210" spans="1:12" ht="25.2">
      <c r="A210" s="579" t="s">
        <v>335</v>
      </c>
      <c r="B210" s="515"/>
      <c r="C210" s="515"/>
      <c r="D210" s="515"/>
      <c r="E210" s="515"/>
      <c r="F210" s="515"/>
      <c r="G210" s="515"/>
      <c r="H210" s="515"/>
      <c r="I210" s="515"/>
      <c r="J210" s="516"/>
      <c r="K210" s="516" t="s">
        <v>248</v>
      </c>
      <c r="L210" s="559" t="s">
        <v>249</v>
      </c>
    </row>
    <row r="211" spans="1:12">
      <c r="A211" s="523" t="s">
        <v>336</v>
      </c>
      <c r="B211" s="524"/>
      <c r="C211" s="524"/>
      <c r="D211" s="524"/>
      <c r="E211" s="524"/>
      <c r="F211" s="524"/>
      <c r="G211" s="524"/>
      <c r="H211" s="524"/>
      <c r="I211" s="525"/>
      <c r="J211" s="563">
        <f>J212+J213</f>
        <v>6827</v>
      </c>
      <c r="K211" s="563">
        <f>K212+K213</f>
        <v>2288</v>
      </c>
    </row>
    <row r="212" spans="1:12">
      <c r="A212" s="523" t="s">
        <v>337</v>
      </c>
      <c r="B212" s="524"/>
      <c r="C212" s="524"/>
      <c r="D212" s="524"/>
      <c r="E212" s="524"/>
      <c r="F212" s="524"/>
      <c r="G212" s="524"/>
      <c r="H212" s="524"/>
      <c r="I212" s="525"/>
      <c r="J212" s="563">
        <f t="shared" ref="J212:L216" si="0">J176+J183+J190+J197+J204</f>
        <v>6616</v>
      </c>
      <c r="K212" s="563">
        <f t="shared" si="0"/>
        <v>2203</v>
      </c>
    </row>
    <row r="213" spans="1:12">
      <c r="A213" s="523" t="s">
        <v>338</v>
      </c>
      <c r="B213" s="524"/>
      <c r="C213" s="524"/>
      <c r="D213" s="524"/>
      <c r="E213" s="524"/>
      <c r="F213" s="524"/>
      <c r="G213" s="524"/>
      <c r="H213" s="524"/>
      <c r="I213" s="525"/>
      <c r="J213" s="563">
        <f t="shared" si="0"/>
        <v>211</v>
      </c>
      <c r="K213" s="563">
        <f t="shared" si="0"/>
        <v>85</v>
      </c>
    </row>
    <row r="214" spans="1:12">
      <c r="A214" s="523" t="s">
        <v>339</v>
      </c>
      <c r="B214" s="524"/>
      <c r="C214" s="524"/>
      <c r="D214" s="524"/>
      <c r="E214" s="524"/>
      <c r="F214" s="524"/>
      <c r="G214" s="524"/>
      <c r="H214" s="524"/>
      <c r="I214" s="525"/>
      <c r="J214" s="563">
        <f t="shared" si="0"/>
        <v>837</v>
      </c>
      <c r="K214" s="580">
        <f t="shared" si="0"/>
        <v>395.91727500000002</v>
      </c>
      <c r="L214" s="581">
        <f t="shared" si="0"/>
        <v>259</v>
      </c>
    </row>
    <row r="215" spans="1:12">
      <c r="A215" s="523" t="s">
        <v>340</v>
      </c>
      <c r="B215" s="524"/>
      <c r="C215" s="524"/>
      <c r="D215" s="524"/>
      <c r="E215" s="524"/>
      <c r="F215" s="524"/>
      <c r="G215" s="524"/>
      <c r="H215" s="524"/>
      <c r="I215" s="525"/>
      <c r="J215" s="563">
        <f t="shared" si="0"/>
        <v>47</v>
      </c>
      <c r="K215" s="563">
        <f t="shared" si="0"/>
        <v>23</v>
      </c>
    </row>
    <row r="216" spans="1:12">
      <c r="A216" s="530" t="s">
        <v>341</v>
      </c>
      <c r="B216" s="538"/>
      <c r="C216" s="538"/>
      <c r="D216" s="538"/>
      <c r="E216" s="538"/>
      <c r="F216" s="538"/>
      <c r="G216" s="538"/>
      <c r="H216" s="538"/>
      <c r="I216" s="539"/>
      <c r="J216" s="582">
        <f t="shared" si="0"/>
        <v>23483.4715</v>
      </c>
      <c r="K216" s="582">
        <f t="shared" si="0"/>
        <v>21471.109</v>
      </c>
      <c r="L216" s="582">
        <f t="shared" si="0"/>
        <v>33067.850000000006</v>
      </c>
    </row>
    <row r="217" spans="1:12">
      <c r="A217" s="555"/>
      <c r="B217" s="541"/>
      <c r="C217" s="541"/>
      <c r="D217" s="541"/>
      <c r="E217" s="541"/>
      <c r="F217" s="541"/>
      <c r="G217" s="541"/>
      <c r="H217" s="541"/>
      <c r="I217" s="541"/>
      <c r="J217" s="583"/>
    </row>
    <row r="218" spans="1:12">
      <c r="A218" s="584" t="s">
        <v>342</v>
      </c>
      <c r="B218" s="513"/>
      <c r="C218" s="513"/>
      <c r="D218" s="513"/>
      <c r="E218" s="513"/>
      <c r="F218" s="513"/>
      <c r="G218" s="513"/>
      <c r="H218" s="513"/>
      <c r="I218" s="513"/>
      <c r="J218" s="513"/>
    </row>
    <row r="219" spans="1:12">
      <c r="A219" s="514" t="s">
        <v>200</v>
      </c>
      <c r="B219" s="515"/>
      <c r="C219" s="515"/>
      <c r="D219" s="515"/>
      <c r="E219" s="515"/>
      <c r="F219" s="515"/>
      <c r="G219" s="515"/>
      <c r="H219" s="515"/>
      <c r="I219" s="515"/>
      <c r="J219" s="516"/>
      <c r="L219" s="517" t="s">
        <v>201</v>
      </c>
    </row>
    <row r="220" spans="1:12">
      <c r="A220" s="585" t="s">
        <v>343</v>
      </c>
      <c r="B220" s="586"/>
      <c r="C220" s="586"/>
      <c r="D220" s="586"/>
      <c r="E220" s="586"/>
      <c r="F220" s="586"/>
      <c r="G220" s="586"/>
      <c r="H220" s="586"/>
      <c r="I220" s="586"/>
      <c r="J220" s="526">
        <v>27211</v>
      </c>
    </row>
    <row r="221" spans="1:12">
      <c r="A221" s="510" t="s">
        <v>344</v>
      </c>
      <c r="J221" s="526">
        <v>379</v>
      </c>
    </row>
    <row r="222" spans="1:12">
      <c r="A222" s="523" t="s">
        <v>345</v>
      </c>
      <c r="B222" s="524"/>
      <c r="C222" s="524"/>
      <c r="D222" s="524"/>
      <c r="E222" s="524"/>
      <c r="F222" s="524"/>
      <c r="G222" s="524"/>
      <c r="H222" s="524"/>
      <c r="I222" s="525"/>
      <c r="J222" s="526">
        <v>12</v>
      </c>
      <c r="L222" s="521">
        <v>29</v>
      </c>
    </row>
    <row r="223" spans="1:12">
      <c r="A223" s="523" t="s">
        <v>346</v>
      </c>
      <c r="B223" s="524"/>
      <c r="C223" s="524"/>
      <c r="D223" s="524"/>
      <c r="E223" s="524"/>
      <c r="F223" s="524"/>
      <c r="G223" s="524"/>
      <c r="H223" s="524"/>
      <c r="I223" s="525"/>
      <c r="J223" s="587">
        <f>J222*20</f>
        <v>240</v>
      </c>
      <c r="L223" s="528">
        <v>1010</v>
      </c>
    </row>
    <row r="224" spans="1:12">
      <c r="A224" s="533" t="s">
        <v>347</v>
      </c>
      <c r="B224" s="541"/>
      <c r="C224" s="541"/>
      <c r="D224" s="541"/>
      <c r="E224" s="541"/>
      <c r="F224" s="541"/>
      <c r="G224" s="541"/>
      <c r="H224" s="541"/>
      <c r="I224" s="541"/>
      <c r="J224" s="534">
        <f>1-(J221)/(J220)</f>
        <v>0.98607180919481097</v>
      </c>
    </row>
    <row r="225" spans="1:12">
      <c r="A225" s="514" t="s">
        <v>212</v>
      </c>
      <c r="B225" s="515"/>
      <c r="C225" s="515"/>
      <c r="D225" s="515"/>
      <c r="E225" s="515"/>
      <c r="F225" s="515"/>
      <c r="G225" s="515"/>
      <c r="H225" s="515"/>
      <c r="I225" s="515"/>
      <c r="L225" s="536"/>
    </row>
    <row r="226" spans="1:12">
      <c r="A226" s="585" t="s">
        <v>343</v>
      </c>
      <c r="B226" s="586"/>
      <c r="C226" s="586"/>
      <c r="D226" s="586"/>
      <c r="E226" s="586"/>
      <c r="F226" s="586"/>
      <c r="G226" s="586"/>
      <c r="H226" s="586"/>
      <c r="I226" s="586"/>
      <c r="J226" s="526">
        <v>391</v>
      </c>
      <c r="L226" s="536"/>
    </row>
    <row r="227" spans="1:12">
      <c r="A227" s="510" t="s">
        <v>344</v>
      </c>
      <c r="J227" s="526">
        <v>23</v>
      </c>
      <c r="L227" s="536"/>
    </row>
    <row r="228" spans="1:12">
      <c r="A228" s="523" t="s">
        <v>345</v>
      </c>
      <c r="B228" s="524"/>
      <c r="C228" s="524"/>
      <c r="D228" s="524"/>
      <c r="E228" s="524"/>
      <c r="F228" s="524"/>
      <c r="G228" s="524"/>
      <c r="H228" s="524"/>
      <c r="I228" s="525"/>
      <c r="J228" s="526">
        <v>0</v>
      </c>
      <c r="L228" s="521">
        <v>2</v>
      </c>
    </row>
    <row r="229" spans="1:12">
      <c r="A229" s="523" t="s">
        <v>346</v>
      </c>
      <c r="B229" s="524"/>
      <c r="C229" s="524"/>
      <c r="D229" s="524"/>
      <c r="E229" s="524"/>
      <c r="F229" s="524"/>
      <c r="G229" s="524"/>
      <c r="H229" s="524"/>
      <c r="I229" s="525"/>
      <c r="J229" s="527">
        <f>J228*50</f>
        <v>0</v>
      </c>
      <c r="L229" s="528">
        <v>150</v>
      </c>
    </row>
    <row r="230" spans="1:12">
      <c r="A230" s="533" t="s">
        <v>348</v>
      </c>
      <c r="B230" s="524"/>
      <c r="C230" s="524"/>
      <c r="D230" s="524"/>
      <c r="E230" s="524"/>
      <c r="F230" s="524"/>
      <c r="G230" s="524"/>
      <c r="H230" s="524"/>
      <c r="I230" s="525"/>
      <c r="J230" s="534">
        <f>1-(J227)/(J226)</f>
        <v>0.94117647058823528</v>
      </c>
    </row>
    <row r="231" spans="1:12">
      <c r="A231" s="530" t="s">
        <v>349</v>
      </c>
      <c r="B231" s="524"/>
      <c r="C231" s="524"/>
      <c r="D231" s="524"/>
      <c r="E231" s="524"/>
      <c r="F231" s="524"/>
      <c r="G231" s="524"/>
      <c r="H231" s="524"/>
      <c r="I231" s="525"/>
      <c r="J231" s="531">
        <f>J223+J229</f>
        <v>240</v>
      </c>
      <c r="L231" s="532">
        <f>L223+L229</f>
        <v>1160</v>
      </c>
    </row>
    <row r="232" spans="1:12">
      <c r="A232" s="533" t="s">
        <v>350</v>
      </c>
      <c r="B232" s="541"/>
      <c r="C232" s="541"/>
      <c r="D232" s="541"/>
      <c r="E232" s="541"/>
      <c r="F232" s="541"/>
      <c r="G232" s="541"/>
      <c r="H232" s="541"/>
      <c r="I232" s="541"/>
      <c r="J232" s="534">
        <f>1-(J227+J221)/(J226+J220)</f>
        <v>0.98543583798275491</v>
      </c>
    </row>
    <row r="234" spans="1:12" ht="12.75" customHeight="1">
      <c r="A234" s="588" t="s">
        <v>351</v>
      </c>
      <c r="B234" s="513"/>
      <c r="C234" s="513"/>
      <c r="D234" s="513"/>
      <c r="E234" s="513"/>
      <c r="F234" s="513"/>
      <c r="G234" s="513"/>
      <c r="H234" s="513"/>
      <c r="I234" s="513"/>
      <c r="J234" s="513"/>
    </row>
    <row r="235" spans="1:12">
      <c r="C235" s="509"/>
      <c r="D235" s="509"/>
      <c r="E235" s="509"/>
      <c r="F235" s="509"/>
      <c r="G235" s="509"/>
      <c r="H235" s="509"/>
      <c r="I235" s="509"/>
      <c r="J235" s="516"/>
      <c r="L235" s="517" t="s">
        <v>201</v>
      </c>
    </row>
    <row r="236" spans="1:12">
      <c r="A236" s="585" t="s">
        <v>352</v>
      </c>
      <c r="B236" s="586"/>
      <c r="C236" s="586"/>
      <c r="D236" s="586"/>
      <c r="E236" s="586"/>
      <c r="F236" s="586"/>
      <c r="G236" s="586"/>
      <c r="H236" s="586"/>
      <c r="I236" s="586"/>
      <c r="J236" s="526">
        <v>1556</v>
      </c>
    </row>
    <row r="237" spans="1:12">
      <c r="A237" s="589" t="s">
        <v>353</v>
      </c>
      <c r="B237" s="589"/>
      <c r="C237" s="589"/>
      <c r="D237" s="589"/>
      <c r="E237" s="589"/>
      <c r="F237" s="589"/>
      <c r="G237" s="589"/>
      <c r="H237" s="589"/>
      <c r="I237" s="590"/>
      <c r="J237" s="526">
        <v>2</v>
      </c>
    </row>
    <row r="238" spans="1:12">
      <c r="A238" s="523" t="s">
        <v>354</v>
      </c>
      <c r="B238" s="524"/>
      <c r="C238" s="524"/>
      <c r="D238" s="524"/>
      <c r="E238" s="524"/>
      <c r="F238" s="524"/>
      <c r="G238" s="524"/>
      <c r="H238" s="524"/>
      <c r="I238" s="525"/>
      <c r="J238" s="526">
        <v>6</v>
      </c>
      <c r="L238" s="521">
        <v>3</v>
      </c>
    </row>
    <row r="239" spans="1:12">
      <c r="A239" s="523" t="s">
        <v>355</v>
      </c>
      <c r="B239" s="524"/>
      <c r="C239" s="524"/>
      <c r="D239" s="524"/>
      <c r="E239" s="524"/>
      <c r="F239" s="524"/>
      <c r="G239" s="524"/>
      <c r="H239" s="524"/>
      <c r="I239" s="525"/>
      <c r="J239" s="526">
        <v>1</v>
      </c>
      <c r="L239" s="536"/>
    </row>
    <row r="240" spans="1:12" s="592" customFormat="1">
      <c r="A240" s="530" t="s">
        <v>356</v>
      </c>
      <c r="B240" s="538"/>
      <c r="C240" s="538"/>
      <c r="D240" s="538"/>
      <c r="E240" s="538"/>
      <c r="F240" s="538"/>
      <c r="G240" s="538"/>
      <c r="H240" s="538"/>
      <c r="I240" s="539"/>
      <c r="J240" s="591">
        <f>J238*20</f>
        <v>120</v>
      </c>
      <c r="L240" s="528">
        <v>180</v>
      </c>
    </row>
    <row r="241" spans="1:14">
      <c r="A241" s="533" t="s">
        <v>357</v>
      </c>
      <c r="B241" s="541"/>
      <c r="C241" s="541"/>
      <c r="D241" s="541"/>
      <c r="E241" s="541"/>
      <c r="F241" s="541"/>
      <c r="G241" s="541"/>
      <c r="H241" s="541"/>
      <c r="I241" s="541"/>
      <c r="J241" s="593">
        <f>1-(J237)/(J236)</f>
        <v>0.99871465295629824</v>
      </c>
    </row>
    <row r="242" spans="1:14" ht="12.75" customHeight="1">
      <c r="L242" s="592"/>
    </row>
    <row r="243" spans="1:14" ht="12.45" customHeight="1">
      <c r="A243" s="512" t="s">
        <v>358</v>
      </c>
      <c r="B243" s="512"/>
      <c r="C243" s="512"/>
      <c r="D243" s="512"/>
      <c r="E243" s="512"/>
      <c r="F243" s="512"/>
      <c r="G243" s="512"/>
      <c r="H243" s="512"/>
      <c r="I243" s="512"/>
      <c r="J243" s="512"/>
      <c r="K243" s="672" t="s">
        <v>359</v>
      </c>
    </row>
    <row r="244" spans="1:14">
      <c r="A244" s="514" t="s">
        <v>200</v>
      </c>
      <c r="B244" s="515"/>
      <c r="C244" s="515"/>
      <c r="D244" s="515"/>
      <c r="E244" s="515"/>
      <c r="F244" s="515"/>
      <c r="G244" s="515"/>
      <c r="H244" s="515"/>
      <c r="I244" s="515"/>
      <c r="J244" s="516"/>
      <c r="K244" s="673"/>
      <c r="L244" s="517" t="s">
        <v>201</v>
      </c>
    </row>
    <row r="245" spans="1:14">
      <c r="A245" s="523" t="s">
        <v>360</v>
      </c>
      <c r="B245" s="524"/>
      <c r="C245" s="524"/>
      <c r="D245" s="524"/>
      <c r="E245" s="524"/>
      <c r="F245" s="524"/>
      <c r="G245" s="524"/>
      <c r="H245" s="524"/>
      <c r="I245" s="525"/>
      <c r="J245" s="526">
        <v>23</v>
      </c>
      <c r="L245" s="521">
        <v>19</v>
      </c>
    </row>
    <row r="246" spans="1:14">
      <c r="A246" s="518" t="s">
        <v>361</v>
      </c>
      <c r="B246" s="524"/>
      <c r="C246" s="524"/>
      <c r="D246" s="524"/>
      <c r="E246" s="524"/>
      <c r="F246" s="524"/>
      <c r="G246" s="524"/>
      <c r="H246" s="524"/>
      <c r="I246" s="525"/>
      <c r="J246" s="565">
        <v>460</v>
      </c>
      <c r="L246" s="528">
        <v>400</v>
      </c>
    </row>
    <row r="247" spans="1:14">
      <c r="A247" s="518" t="s">
        <v>362</v>
      </c>
      <c r="B247" s="524"/>
      <c r="C247" s="524"/>
      <c r="D247" s="524"/>
      <c r="E247" s="524"/>
      <c r="F247" s="524"/>
      <c r="G247" s="524"/>
      <c r="H247" s="524"/>
      <c r="I247" s="525"/>
      <c r="J247" s="526">
        <v>23</v>
      </c>
      <c r="K247" s="594"/>
      <c r="L247" s="521">
        <v>19</v>
      </c>
    </row>
    <row r="248" spans="1:14">
      <c r="A248" s="523" t="s">
        <v>363</v>
      </c>
      <c r="B248" s="524"/>
      <c r="C248" s="524"/>
      <c r="D248" s="524"/>
      <c r="E248" s="524"/>
      <c r="F248" s="524"/>
      <c r="G248" s="524"/>
      <c r="H248" s="524"/>
      <c r="I248" s="525"/>
      <c r="J248" s="587">
        <f>J245*20</f>
        <v>460</v>
      </c>
      <c r="K248" s="594"/>
      <c r="L248" s="528">
        <v>400</v>
      </c>
    </row>
    <row r="249" spans="1:14" s="536" customFormat="1">
      <c r="A249" s="533" t="s">
        <v>364</v>
      </c>
      <c r="B249" s="519"/>
      <c r="C249" s="519"/>
      <c r="D249" s="519"/>
      <c r="E249" s="519"/>
      <c r="F249" s="519"/>
      <c r="G249" s="519"/>
      <c r="H249" s="519"/>
      <c r="I249" s="520"/>
      <c r="J249" s="534">
        <f>(J247)/(J245)</f>
        <v>1</v>
      </c>
      <c r="K249" s="535"/>
    </row>
    <row r="250" spans="1:14">
      <c r="A250" s="514" t="s">
        <v>212</v>
      </c>
      <c r="B250" s="515"/>
      <c r="C250" s="515"/>
      <c r="D250" s="515"/>
      <c r="E250" s="515"/>
      <c r="F250" s="515"/>
      <c r="G250" s="515"/>
      <c r="H250" s="515"/>
      <c r="I250" s="515"/>
      <c r="K250" s="536"/>
      <c r="L250" s="595"/>
    </row>
    <row r="251" spans="1:14">
      <c r="A251" s="523" t="s">
        <v>360</v>
      </c>
      <c r="B251" s="524"/>
      <c r="C251" s="524"/>
      <c r="D251" s="524"/>
      <c r="E251" s="524"/>
      <c r="F251" s="524"/>
      <c r="G251" s="524"/>
      <c r="H251" s="524"/>
      <c r="I251" s="525"/>
      <c r="J251" s="526">
        <v>2</v>
      </c>
      <c r="K251" s="535"/>
      <c r="L251" s="521">
        <v>1</v>
      </c>
    </row>
    <row r="252" spans="1:14">
      <c r="A252" s="518" t="s">
        <v>361</v>
      </c>
      <c r="B252" s="524"/>
      <c r="C252" s="524"/>
      <c r="D252" s="524"/>
      <c r="E252" s="524"/>
      <c r="F252" s="524"/>
      <c r="G252" s="524"/>
      <c r="H252" s="524"/>
      <c r="I252" s="525"/>
      <c r="J252" s="565">
        <v>40</v>
      </c>
      <c r="K252" s="535"/>
      <c r="L252" s="528">
        <v>20</v>
      </c>
    </row>
    <row r="253" spans="1:14">
      <c r="A253" s="518" t="s">
        <v>365</v>
      </c>
      <c r="B253" s="524"/>
      <c r="C253" s="524"/>
      <c r="D253" s="524"/>
      <c r="E253" s="524"/>
      <c r="F253" s="524"/>
      <c r="G253" s="524"/>
      <c r="H253" s="524"/>
      <c r="I253" s="525"/>
      <c r="J253" s="526">
        <v>2</v>
      </c>
      <c r="K253" s="594"/>
      <c r="L253" s="521">
        <v>1</v>
      </c>
    </row>
    <row r="254" spans="1:14">
      <c r="A254" s="523" t="s">
        <v>366</v>
      </c>
      <c r="B254" s="524"/>
      <c r="C254" s="524"/>
      <c r="D254" s="524"/>
      <c r="E254" s="524"/>
      <c r="F254" s="524"/>
      <c r="G254" s="524"/>
      <c r="H254" s="524"/>
      <c r="I254" s="525"/>
      <c r="J254" s="527">
        <f>J251*20</f>
        <v>40</v>
      </c>
      <c r="K254" s="594"/>
      <c r="L254" s="528">
        <v>20</v>
      </c>
      <c r="N254" s="596"/>
    </row>
    <row r="255" spans="1:14" s="536" customFormat="1">
      <c r="A255" s="533" t="s">
        <v>367</v>
      </c>
      <c r="B255" s="519"/>
      <c r="C255" s="519"/>
      <c r="D255" s="519"/>
      <c r="E255" s="519"/>
      <c r="F255" s="519"/>
      <c r="G255" s="519"/>
      <c r="H255" s="519"/>
      <c r="I255" s="520"/>
      <c r="J255" s="534">
        <f>(J253)/(J251)</f>
        <v>1</v>
      </c>
      <c r="K255" s="535"/>
    </row>
    <row r="256" spans="1:14">
      <c r="A256" s="530" t="s">
        <v>368</v>
      </c>
      <c r="B256" s="524"/>
      <c r="C256" s="524"/>
      <c r="D256" s="524"/>
      <c r="E256" s="524"/>
      <c r="F256" s="524"/>
      <c r="G256" s="524"/>
      <c r="H256" s="524"/>
      <c r="I256" s="525"/>
      <c r="J256" s="531">
        <f>J248+J254</f>
        <v>500</v>
      </c>
      <c r="K256" s="535"/>
      <c r="L256" s="532">
        <f>L248+L254</f>
        <v>420</v>
      </c>
    </row>
    <row r="257" spans="1:12">
      <c r="A257" s="533" t="s">
        <v>369</v>
      </c>
      <c r="B257" s="541"/>
      <c r="C257" s="541"/>
      <c r="D257" s="541"/>
      <c r="E257" s="541"/>
      <c r="F257" s="541"/>
      <c r="G257" s="541"/>
      <c r="H257" s="541"/>
      <c r="I257" s="541"/>
      <c r="J257" s="534">
        <f>(J247+J253)/(J245+J251)</f>
        <v>1</v>
      </c>
      <c r="K257" s="535"/>
    </row>
    <row r="258" spans="1:12">
      <c r="A258" s="555"/>
      <c r="B258" s="541"/>
      <c r="C258" s="541"/>
      <c r="D258" s="541"/>
      <c r="E258" s="541"/>
      <c r="F258" s="541"/>
      <c r="G258" s="541"/>
      <c r="H258" s="541"/>
      <c r="I258" s="541"/>
      <c r="J258" s="556"/>
    </row>
    <row r="259" spans="1:12" ht="51" thickBot="1">
      <c r="A259" s="541"/>
      <c r="B259" s="509"/>
      <c r="C259" s="509"/>
      <c r="D259" s="509"/>
      <c r="E259" s="509"/>
      <c r="F259" s="509"/>
      <c r="G259" s="509"/>
      <c r="H259" s="509"/>
      <c r="I259" s="509"/>
      <c r="J259" s="597" t="s">
        <v>370</v>
      </c>
      <c r="K259" s="598" t="s">
        <v>248</v>
      </c>
      <c r="L259" s="559" t="s">
        <v>249</v>
      </c>
    </row>
    <row r="260" spans="1:12" ht="13.2" thickBot="1">
      <c r="A260" s="599" t="s">
        <v>371</v>
      </c>
      <c r="B260" s="600"/>
      <c r="C260" s="600"/>
      <c r="D260" s="600"/>
      <c r="E260" s="600"/>
      <c r="F260" s="600"/>
      <c r="G260" s="600"/>
      <c r="H260" s="600"/>
      <c r="I260" s="600"/>
      <c r="J260" s="601">
        <f>J256+J240+J231+J216+J172+J163+J147+J131+J117+J101+J85+J75+J56+J32</f>
        <v>65999.4715</v>
      </c>
      <c r="K260" s="601">
        <f>K216+K172+K163+K147+K131+K117+K101+K85</f>
        <v>23661.109</v>
      </c>
      <c r="L260" s="601">
        <f>L256+L240+L231+L216+L172+L163+L147+L131+L117+L101+L85+L75+L56+L32</f>
        <v>82707.450000000012</v>
      </c>
    </row>
    <row r="261" spans="1:12">
      <c r="A261" s="509"/>
      <c r="B261" s="509"/>
      <c r="C261" s="509"/>
      <c r="D261" s="509"/>
      <c r="E261" s="509"/>
      <c r="F261" s="509"/>
      <c r="G261" s="509"/>
      <c r="H261" s="509"/>
      <c r="I261" s="509"/>
    </row>
  </sheetData>
  <sheetProtection selectLockedCells="1"/>
  <mergeCells count="9">
    <mergeCell ref="A138:I138"/>
    <mergeCell ref="A154:I154"/>
    <mergeCell ref="K243:K244"/>
    <mergeCell ref="A67:I67"/>
    <mergeCell ref="A71:I71"/>
    <mergeCell ref="A88:I88"/>
    <mergeCell ref="A92:I92"/>
    <mergeCell ref="A108:I108"/>
    <mergeCell ref="A124:I124"/>
  </mergeCells>
  <pageMargins left="0.70866141732283461" right="0.70866141732283461" top="0.19685039370078741" bottom="0.19685039370078741" header="0" footer="0"/>
  <pageSetup paperSize="8" scale="61" fitToWidth="0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rowBreaks count="1" manualBreakCount="1">
    <brk id="125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N85"/>
  <sheetViews>
    <sheetView view="pageBreakPreview" zoomScale="85" zoomScaleNormal="85" zoomScaleSheetLayoutView="85" workbookViewId="0">
      <selection activeCell="J10" sqref="J10"/>
    </sheetView>
  </sheetViews>
  <sheetFormatPr defaultColWidth="9.109375" defaultRowHeight="12.6"/>
  <cols>
    <col min="1" max="1" width="12.44140625" style="510" customWidth="1"/>
    <col min="2" max="2" width="6.109375" style="510" customWidth="1"/>
    <col min="3" max="7" width="9.109375" style="510"/>
    <col min="8" max="8" width="12" style="510" customWidth="1"/>
    <col min="9" max="9" width="38.88671875" style="510" customWidth="1"/>
    <col min="10" max="10" width="24.33203125" style="510" customWidth="1"/>
    <col min="11" max="14" width="11.33203125" style="510" customWidth="1"/>
    <col min="15" max="16384" width="9.109375" style="510"/>
  </cols>
  <sheetData>
    <row r="1" spans="1:14" s="6" customFormat="1" ht="24.6">
      <c r="A1" s="4" t="s">
        <v>420</v>
      </c>
      <c r="B1" s="5"/>
      <c r="C1" s="5"/>
      <c r="D1" s="5"/>
      <c r="E1" s="5"/>
      <c r="F1" s="5"/>
      <c r="G1" s="5"/>
      <c r="H1" s="5"/>
      <c r="I1" s="5"/>
      <c r="J1" s="5"/>
    </row>
    <row r="2" spans="1:14" s="6" customFormat="1" ht="24.6">
      <c r="A2" s="4" t="s">
        <v>421</v>
      </c>
      <c r="B2" s="5"/>
      <c r="C2" s="5"/>
      <c r="D2" s="5"/>
      <c r="E2" s="5"/>
      <c r="F2" s="5"/>
      <c r="G2" s="5"/>
      <c r="H2" s="5"/>
      <c r="I2" s="5"/>
      <c r="J2" s="5"/>
    </row>
    <row r="3" spans="1:14" s="6" customFormat="1" ht="24.6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</row>
    <row r="4" spans="1:14">
      <c r="A4" s="555" t="s">
        <v>372</v>
      </c>
      <c r="B4" s="555"/>
      <c r="C4" s="555"/>
      <c r="D4" s="555"/>
      <c r="E4" s="555"/>
      <c r="F4" s="555"/>
      <c r="G4" s="555"/>
      <c r="H4" s="555"/>
      <c r="I4" s="555"/>
      <c r="J4" s="556"/>
    </row>
    <row r="5" spans="1:14">
      <c r="A5" s="602" t="s">
        <v>373</v>
      </c>
      <c r="B5" s="602"/>
      <c r="C5" s="602"/>
      <c r="D5" s="602"/>
      <c r="E5" s="602"/>
      <c r="F5" s="602"/>
      <c r="G5" s="602"/>
      <c r="H5" s="602"/>
      <c r="I5" s="602"/>
      <c r="J5" s="603"/>
      <c r="K5" s="604"/>
      <c r="L5" s="604"/>
      <c r="M5" s="604"/>
      <c r="N5" s="604"/>
    </row>
    <row r="6" spans="1:14">
      <c r="A6" s="555"/>
      <c r="B6" s="555"/>
      <c r="C6" s="555"/>
      <c r="D6" s="555"/>
      <c r="E6" s="555"/>
      <c r="F6" s="555"/>
      <c r="G6" s="555"/>
      <c r="H6" s="555"/>
      <c r="I6" s="555"/>
      <c r="J6" s="516" t="s">
        <v>374</v>
      </c>
    </row>
    <row r="7" spans="1:14">
      <c r="A7" s="523" t="s">
        <v>375</v>
      </c>
      <c r="B7" s="538"/>
      <c r="C7" s="538"/>
      <c r="D7" s="538"/>
      <c r="E7" s="538"/>
      <c r="F7" s="538"/>
      <c r="G7" s="538"/>
      <c r="H7" s="538"/>
      <c r="I7" s="538"/>
      <c r="J7" s="605">
        <f>'Guaranteed Standards '!J80+'Guaranteed Standards '!K80</f>
        <v>7758</v>
      </c>
    </row>
    <row r="8" spans="1:14">
      <c r="A8" s="523" t="s">
        <v>376</v>
      </c>
      <c r="B8" s="538"/>
      <c r="C8" s="538"/>
      <c r="D8" s="538"/>
      <c r="E8" s="538"/>
      <c r="F8" s="538"/>
      <c r="G8" s="538"/>
      <c r="H8" s="538"/>
      <c r="I8" s="538"/>
      <c r="J8" s="605">
        <f>'Guaranteed Standards '!J81+'Guaranteed Standards '!K81</f>
        <v>7741</v>
      </c>
    </row>
    <row r="9" spans="1:14">
      <c r="A9" s="523" t="s">
        <v>377</v>
      </c>
      <c r="B9" s="538"/>
      <c r="C9" s="538"/>
      <c r="D9" s="538"/>
      <c r="E9" s="538"/>
      <c r="F9" s="538"/>
      <c r="G9" s="538"/>
      <c r="H9" s="538"/>
      <c r="I9" s="538"/>
      <c r="J9" s="606">
        <f>J8/J7</f>
        <v>0.99780871358597578</v>
      </c>
    </row>
    <row r="10" spans="1:14">
      <c r="A10" s="523" t="s">
        <v>378</v>
      </c>
      <c r="B10" s="538"/>
      <c r="C10" s="538"/>
      <c r="D10" s="538"/>
      <c r="E10" s="538"/>
      <c r="F10" s="538"/>
      <c r="G10" s="538"/>
      <c r="H10" s="538"/>
      <c r="I10" s="538"/>
      <c r="J10" s="605">
        <f>'Guaranteed Standards '!J82+'Guaranteed Standards '!K82</f>
        <v>17</v>
      </c>
    </row>
    <row r="11" spans="1:14">
      <c r="A11" s="523" t="s">
        <v>379</v>
      </c>
      <c r="B11" s="538"/>
      <c r="C11" s="538"/>
      <c r="D11" s="538"/>
      <c r="E11" s="538"/>
      <c r="F11" s="538"/>
      <c r="G11" s="538"/>
      <c r="H11" s="538"/>
      <c r="I11" s="538"/>
      <c r="J11" s="606">
        <f>J10/J7</f>
        <v>2.1912864140242331E-3</v>
      </c>
    </row>
    <row r="12" spans="1:14">
      <c r="A12" s="541"/>
      <c r="B12" s="555"/>
      <c r="C12" s="555"/>
      <c r="D12" s="555"/>
      <c r="E12" s="555"/>
      <c r="F12" s="555"/>
      <c r="G12" s="555"/>
      <c r="H12" s="555"/>
      <c r="I12" s="555"/>
      <c r="J12" s="607"/>
    </row>
    <row r="13" spans="1:14">
      <c r="A13" s="602" t="s">
        <v>380</v>
      </c>
      <c r="B13" s="602"/>
      <c r="C13" s="602"/>
      <c r="D13" s="602"/>
      <c r="E13" s="602"/>
      <c r="F13" s="602"/>
      <c r="G13" s="602"/>
      <c r="H13" s="602"/>
      <c r="I13" s="602"/>
      <c r="J13" s="603"/>
    </row>
    <row r="14" spans="1:14">
      <c r="A14" s="555"/>
      <c r="B14" s="555"/>
      <c r="C14" s="555"/>
      <c r="D14" s="555"/>
      <c r="E14" s="555"/>
      <c r="F14" s="555"/>
      <c r="G14" s="555"/>
      <c r="H14" s="555"/>
      <c r="I14" s="555"/>
      <c r="J14" s="516" t="s">
        <v>374</v>
      </c>
    </row>
    <row r="15" spans="1:14">
      <c r="A15" s="523" t="s">
        <v>381</v>
      </c>
      <c r="B15" s="538"/>
      <c r="C15" s="538"/>
      <c r="D15" s="538"/>
      <c r="E15" s="538"/>
      <c r="F15" s="538"/>
      <c r="G15" s="538"/>
      <c r="H15" s="538"/>
      <c r="I15" s="538"/>
      <c r="J15" s="605">
        <f>'Guaranteed Standards '!J96+'Guaranteed Standards '!K96</f>
        <v>7262</v>
      </c>
    </row>
    <row r="16" spans="1:14">
      <c r="A16" s="523" t="s">
        <v>382</v>
      </c>
      <c r="B16" s="538"/>
      <c r="C16" s="538"/>
      <c r="D16" s="538"/>
      <c r="E16" s="538"/>
      <c r="F16" s="538"/>
      <c r="G16" s="538"/>
      <c r="H16" s="538"/>
      <c r="I16" s="538"/>
      <c r="J16" s="605">
        <f>'Guaranteed Standards '!J97+'Guaranteed Standards '!K97</f>
        <v>7224</v>
      </c>
    </row>
    <row r="17" spans="1:10">
      <c r="A17" s="523" t="s">
        <v>383</v>
      </c>
      <c r="B17" s="538"/>
      <c r="C17" s="538"/>
      <c r="D17" s="538"/>
      <c r="E17" s="538"/>
      <c r="F17" s="538"/>
      <c r="G17" s="538"/>
      <c r="H17" s="538"/>
      <c r="I17" s="538"/>
      <c r="J17" s="606">
        <f>J16/J15</f>
        <v>0.99476728174056739</v>
      </c>
    </row>
    <row r="18" spans="1:10">
      <c r="A18" s="523" t="s">
        <v>384</v>
      </c>
      <c r="B18" s="538"/>
      <c r="C18" s="538"/>
      <c r="D18" s="538"/>
      <c r="E18" s="538"/>
      <c r="F18" s="538"/>
      <c r="G18" s="538"/>
      <c r="H18" s="538"/>
      <c r="I18" s="538"/>
      <c r="J18" s="605">
        <f>'Guaranteed Standards '!J98+'Guaranteed Standards '!K98</f>
        <v>38</v>
      </c>
    </row>
    <row r="19" spans="1:10">
      <c r="A19" s="523" t="s">
        <v>385</v>
      </c>
      <c r="B19" s="538"/>
      <c r="C19" s="538"/>
      <c r="D19" s="538"/>
      <c r="E19" s="538"/>
      <c r="F19" s="538"/>
      <c r="G19" s="538"/>
      <c r="H19" s="538"/>
      <c r="I19" s="538"/>
      <c r="J19" s="606">
        <f>J18/J15</f>
        <v>5.2327182594326628E-3</v>
      </c>
    </row>
    <row r="20" spans="1:10">
      <c r="A20" s="555"/>
      <c r="B20" s="555"/>
      <c r="C20" s="555"/>
      <c r="D20" s="555"/>
      <c r="E20" s="555"/>
      <c r="F20" s="555"/>
      <c r="G20" s="555"/>
      <c r="H20" s="555"/>
      <c r="I20" s="555"/>
      <c r="J20" s="556"/>
    </row>
    <row r="21" spans="1:10">
      <c r="A21" s="602" t="s">
        <v>386</v>
      </c>
      <c r="B21" s="602"/>
      <c r="C21" s="602"/>
      <c r="D21" s="602"/>
      <c r="E21" s="602"/>
      <c r="F21" s="602"/>
      <c r="G21" s="602"/>
      <c r="H21" s="602"/>
      <c r="I21" s="602"/>
      <c r="J21" s="603"/>
    </row>
    <row r="22" spans="1:10">
      <c r="A22" s="555"/>
      <c r="B22" s="555"/>
      <c r="C22" s="555"/>
      <c r="D22" s="555"/>
      <c r="E22" s="555"/>
      <c r="F22" s="555"/>
      <c r="G22" s="555"/>
      <c r="H22" s="555"/>
      <c r="I22" s="555"/>
      <c r="J22" s="516" t="s">
        <v>374</v>
      </c>
    </row>
    <row r="23" spans="1:10">
      <c r="A23" s="523" t="s">
        <v>387</v>
      </c>
      <c r="B23" s="538"/>
      <c r="C23" s="538"/>
      <c r="D23" s="538"/>
      <c r="E23" s="538"/>
      <c r="F23" s="538"/>
      <c r="G23" s="538"/>
      <c r="H23" s="538"/>
      <c r="I23" s="538"/>
      <c r="J23" s="605">
        <f>'Guaranteed Standards '!J112+'Guaranteed Standards '!K112</f>
        <v>584</v>
      </c>
    </row>
    <row r="24" spans="1:10">
      <c r="A24" s="523" t="s">
        <v>388</v>
      </c>
      <c r="B24" s="538"/>
      <c r="C24" s="538"/>
      <c r="D24" s="538"/>
      <c r="E24" s="538"/>
      <c r="F24" s="538"/>
      <c r="G24" s="538"/>
      <c r="H24" s="538"/>
      <c r="I24" s="538"/>
      <c r="J24" s="605">
        <f>'Guaranteed Standards '!J113+'Guaranteed Standards '!K113</f>
        <v>580</v>
      </c>
    </row>
    <row r="25" spans="1:10">
      <c r="A25" s="523" t="s">
        <v>389</v>
      </c>
      <c r="B25" s="538"/>
      <c r="C25" s="538"/>
      <c r="D25" s="538"/>
      <c r="E25" s="538"/>
      <c r="F25" s="538"/>
      <c r="G25" s="538"/>
      <c r="H25" s="538"/>
      <c r="I25" s="538"/>
      <c r="J25" s="606">
        <f>J24/J23</f>
        <v>0.99315068493150682</v>
      </c>
    </row>
    <row r="26" spans="1:10">
      <c r="A26" s="523" t="s">
        <v>390</v>
      </c>
      <c r="B26" s="538"/>
      <c r="C26" s="538"/>
      <c r="D26" s="538"/>
      <c r="E26" s="538"/>
      <c r="F26" s="538"/>
      <c r="G26" s="538"/>
      <c r="H26" s="538"/>
      <c r="I26" s="538"/>
      <c r="J26" s="605">
        <f>'Guaranteed Standards '!J114+'Guaranteed Standards '!K114</f>
        <v>4</v>
      </c>
    </row>
    <row r="27" spans="1:10">
      <c r="A27" s="523" t="s">
        <v>391</v>
      </c>
      <c r="B27" s="538"/>
      <c r="C27" s="538"/>
      <c r="D27" s="538"/>
      <c r="E27" s="538"/>
      <c r="F27" s="538"/>
      <c r="G27" s="538"/>
      <c r="H27" s="538"/>
      <c r="I27" s="538"/>
      <c r="J27" s="606">
        <f>J26/J23</f>
        <v>6.8493150684931503E-3</v>
      </c>
    </row>
    <row r="28" spans="1:10">
      <c r="A28" s="555"/>
      <c r="B28" s="509"/>
      <c r="C28" s="509"/>
      <c r="D28" s="509"/>
      <c r="E28" s="509"/>
      <c r="F28" s="509"/>
      <c r="G28" s="509"/>
      <c r="H28" s="509"/>
      <c r="I28" s="509"/>
      <c r="J28" s="509"/>
    </row>
    <row r="29" spans="1:10">
      <c r="A29" s="602" t="s">
        <v>392</v>
      </c>
      <c r="B29" s="608"/>
      <c r="C29" s="608"/>
      <c r="D29" s="608"/>
      <c r="E29" s="608"/>
      <c r="F29" s="608"/>
      <c r="G29" s="608"/>
      <c r="H29" s="608"/>
      <c r="I29" s="608"/>
      <c r="J29" s="608"/>
    </row>
    <row r="30" spans="1:10">
      <c r="A30" s="555"/>
      <c r="B30" s="509"/>
      <c r="C30" s="509"/>
      <c r="D30" s="509"/>
      <c r="E30" s="509"/>
      <c r="F30" s="509"/>
      <c r="G30" s="509"/>
      <c r="H30" s="509"/>
      <c r="I30" s="509"/>
      <c r="J30" s="516" t="s">
        <v>374</v>
      </c>
    </row>
    <row r="31" spans="1:10">
      <c r="A31" s="523" t="s">
        <v>393</v>
      </c>
      <c r="B31" s="538"/>
      <c r="C31" s="538"/>
      <c r="D31" s="538"/>
      <c r="E31" s="538"/>
      <c r="F31" s="538"/>
      <c r="G31" s="538"/>
      <c r="H31" s="538"/>
      <c r="I31" s="538"/>
      <c r="J31" s="605">
        <f>'Guaranteed Standards '!J128+'Guaranteed Standards '!K128</f>
        <v>0</v>
      </c>
    </row>
    <row r="32" spans="1:10">
      <c r="A32" s="523" t="s">
        <v>394</v>
      </c>
      <c r="B32" s="538"/>
      <c r="C32" s="538"/>
      <c r="D32" s="538"/>
      <c r="E32" s="538"/>
      <c r="F32" s="609"/>
      <c r="G32" s="609"/>
      <c r="H32" s="609"/>
      <c r="I32" s="609"/>
      <c r="J32" s="605">
        <f>'Guaranteed Standards '!J129+'Guaranteed Standards '!K129</f>
        <v>0</v>
      </c>
    </row>
    <row r="33" spans="1:10">
      <c r="A33" s="610" t="s">
        <v>395</v>
      </c>
      <c r="B33" s="611"/>
      <c r="C33" s="611"/>
      <c r="D33" s="611"/>
      <c r="E33" s="530"/>
      <c r="F33" s="538"/>
      <c r="G33" s="538"/>
      <c r="H33" s="538"/>
      <c r="I33" s="539"/>
      <c r="J33" s="605">
        <f>'Guaranteed Standards '!J130+'Guaranteed Standards '!K130</f>
        <v>0</v>
      </c>
    </row>
    <row r="34" spans="1:10">
      <c r="A34" s="560" t="s">
        <v>396</v>
      </c>
      <c r="B34" s="538"/>
      <c r="C34" s="538"/>
      <c r="D34" s="538"/>
      <c r="E34" s="538"/>
      <c r="F34" s="538"/>
      <c r="G34" s="538"/>
      <c r="H34" s="538"/>
      <c r="I34" s="539"/>
      <c r="J34" s="612">
        <f>'Guaranteed Standards '!J131+'Guaranteed Standards '!K131</f>
        <v>0</v>
      </c>
    </row>
    <row r="35" spans="1:10">
      <c r="A35" s="555"/>
      <c r="B35" s="509"/>
      <c r="C35" s="509"/>
      <c r="D35" s="509"/>
      <c r="E35" s="509"/>
      <c r="F35" s="509"/>
      <c r="G35" s="509"/>
      <c r="H35" s="509"/>
      <c r="I35" s="509"/>
      <c r="J35" s="509"/>
    </row>
    <row r="36" spans="1:10">
      <c r="A36" s="602" t="s">
        <v>397</v>
      </c>
      <c r="B36" s="608"/>
      <c r="C36" s="608"/>
      <c r="D36" s="608"/>
      <c r="E36" s="608"/>
      <c r="F36" s="608"/>
      <c r="G36" s="608"/>
      <c r="H36" s="608"/>
      <c r="I36" s="608"/>
      <c r="J36" s="608"/>
    </row>
    <row r="37" spans="1:10">
      <c r="A37" s="555"/>
      <c r="B37" s="509"/>
      <c r="C37" s="509"/>
      <c r="D37" s="509"/>
      <c r="E37" s="509"/>
      <c r="F37" s="509"/>
      <c r="G37" s="509"/>
      <c r="H37" s="509"/>
      <c r="I37" s="509"/>
      <c r="J37" s="516" t="s">
        <v>374</v>
      </c>
    </row>
    <row r="38" spans="1:10">
      <c r="A38" s="560" t="s">
        <v>398</v>
      </c>
      <c r="B38" s="568"/>
      <c r="C38" s="568"/>
      <c r="D38" s="568"/>
      <c r="E38" s="568"/>
      <c r="F38" s="568"/>
      <c r="G38" s="568"/>
      <c r="H38" s="568"/>
      <c r="I38" s="568"/>
      <c r="J38" s="605">
        <f>'Guaranteed Standards '!J142+'Guaranteed Standards '!K142</f>
        <v>658</v>
      </c>
    </row>
    <row r="39" spans="1:10">
      <c r="A39" s="560" t="s">
        <v>399</v>
      </c>
      <c r="B39" s="568"/>
      <c r="C39" s="568"/>
      <c r="D39" s="568"/>
      <c r="E39" s="568"/>
      <c r="F39" s="568"/>
      <c r="G39" s="568"/>
      <c r="H39" s="568"/>
      <c r="I39" s="568"/>
      <c r="J39" s="605">
        <f>'Guaranteed Standards '!J143+'Guaranteed Standards '!K143</f>
        <v>658</v>
      </c>
    </row>
    <row r="40" spans="1:10">
      <c r="A40" s="560" t="s">
        <v>400</v>
      </c>
      <c r="B40" s="568"/>
      <c r="C40" s="568"/>
      <c r="D40" s="568"/>
      <c r="E40" s="568"/>
      <c r="F40" s="568"/>
      <c r="G40" s="568"/>
      <c r="H40" s="568"/>
      <c r="I40" s="568"/>
      <c r="J40" s="606">
        <f>J39/J38</f>
        <v>1</v>
      </c>
    </row>
    <row r="41" spans="1:10">
      <c r="A41" s="560" t="s">
        <v>401</v>
      </c>
      <c r="B41" s="568"/>
      <c r="C41" s="568"/>
      <c r="D41" s="568"/>
      <c r="E41" s="568"/>
      <c r="F41" s="568"/>
      <c r="G41" s="568"/>
      <c r="H41" s="568"/>
      <c r="I41" s="568"/>
      <c r="J41" s="605">
        <f>'Guaranteed Standards '!J144+'Guaranteed Standards '!K144</f>
        <v>0</v>
      </c>
    </row>
    <row r="42" spans="1:10">
      <c r="A42" s="560" t="s">
        <v>402</v>
      </c>
      <c r="B42" s="568"/>
      <c r="C42" s="568"/>
      <c r="D42" s="568"/>
      <c r="E42" s="568"/>
      <c r="F42" s="568"/>
      <c r="G42" s="568"/>
      <c r="H42" s="568"/>
      <c r="I42" s="568"/>
      <c r="J42" s="606">
        <f>J41/J38</f>
        <v>0</v>
      </c>
    </row>
    <row r="43" spans="1:10">
      <c r="A43" s="555"/>
      <c r="B43" s="509"/>
      <c r="C43" s="509"/>
      <c r="D43" s="509"/>
      <c r="E43" s="509"/>
      <c r="F43" s="509"/>
      <c r="G43" s="509"/>
      <c r="H43" s="509"/>
      <c r="I43" s="509"/>
      <c r="J43" s="509"/>
    </row>
    <row r="44" spans="1:10" ht="12.75" customHeight="1">
      <c r="A44" s="557" t="s">
        <v>403</v>
      </c>
      <c r="B44" s="613"/>
      <c r="C44" s="613"/>
      <c r="D44" s="613"/>
      <c r="E44" s="613"/>
      <c r="F44" s="613"/>
      <c r="G44" s="613"/>
      <c r="H44" s="613"/>
      <c r="I44" s="613"/>
      <c r="J44" s="613"/>
    </row>
    <row r="45" spans="1:10">
      <c r="A45" s="555"/>
      <c r="B45" s="509"/>
      <c r="C45" s="509"/>
      <c r="D45" s="509"/>
      <c r="E45" s="509"/>
      <c r="F45" s="509"/>
      <c r="G45" s="509"/>
      <c r="H45" s="509"/>
      <c r="I45" s="509"/>
      <c r="J45" s="516" t="s">
        <v>374</v>
      </c>
    </row>
    <row r="46" spans="1:10">
      <c r="A46" s="560" t="s">
        <v>404</v>
      </c>
      <c r="B46" s="568"/>
      <c r="C46" s="568"/>
      <c r="D46" s="568"/>
      <c r="E46" s="568"/>
      <c r="F46" s="568"/>
      <c r="G46" s="568"/>
      <c r="H46" s="568"/>
      <c r="I46" s="568"/>
      <c r="J46" s="605">
        <f>'Guaranteed Standards '!J158+'Guaranteed Standards '!K158+'Guaranteed Standards '!J167+'Guaranteed Standards '!K167</f>
        <v>9349</v>
      </c>
    </row>
    <row r="47" spans="1:10">
      <c r="A47" s="560" t="s">
        <v>405</v>
      </c>
      <c r="B47" s="568"/>
      <c r="C47" s="568"/>
      <c r="D47" s="568"/>
      <c r="E47" s="568"/>
      <c r="F47" s="568"/>
      <c r="G47" s="568"/>
      <c r="H47" s="568"/>
      <c r="I47" s="568"/>
      <c r="J47" s="605">
        <f>'Guaranteed Standards '!J159+'Guaranteed Standards '!K159+'Guaranteed Standards '!J168+'Guaranteed Standards '!K168</f>
        <v>9340</v>
      </c>
    </row>
    <row r="48" spans="1:10">
      <c r="A48" s="560" t="s">
        <v>406</v>
      </c>
      <c r="B48" s="568"/>
      <c r="C48" s="568"/>
      <c r="D48" s="568"/>
      <c r="E48" s="568"/>
      <c r="F48" s="568"/>
      <c r="G48" s="568"/>
      <c r="H48" s="568"/>
      <c r="I48" s="568"/>
      <c r="J48" s="606">
        <f>J47/J46</f>
        <v>0.99903733019574281</v>
      </c>
    </row>
    <row r="49" spans="1:10">
      <c r="A49" s="560" t="s">
        <v>407</v>
      </c>
      <c r="B49" s="568"/>
      <c r="C49" s="568"/>
      <c r="D49" s="568"/>
      <c r="E49" s="568"/>
      <c r="F49" s="568"/>
      <c r="G49" s="568"/>
      <c r="H49" s="568"/>
      <c r="I49" s="568"/>
      <c r="J49" s="605">
        <f>'Guaranteed Standards '!J160+'Guaranteed Standards '!K160+'Guaranteed Standards '!J169+'Guaranteed Standards '!K169</f>
        <v>9</v>
      </c>
    </row>
    <row r="50" spans="1:10">
      <c r="A50" s="560" t="s">
        <v>408</v>
      </c>
      <c r="B50" s="568"/>
      <c r="C50" s="568"/>
      <c r="D50" s="568"/>
      <c r="E50" s="568"/>
      <c r="F50" s="568"/>
      <c r="G50" s="568"/>
      <c r="H50" s="568"/>
      <c r="I50" s="568"/>
      <c r="J50" s="606">
        <f>J49/J46</f>
        <v>9.6266980425713982E-4</v>
      </c>
    </row>
    <row r="51" spans="1:10">
      <c r="A51" s="541"/>
      <c r="B51" s="541"/>
      <c r="C51" s="541"/>
      <c r="D51" s="541"/>
      <c r="E51" s="541"/>
      <c r="F51" s="541"/>
      <c r="G51" s="541"/>
      <c r="H51" s="541"/>
      <c r="I51" s="541"/>
      <c r="J51" s="614"/>
    </row>
    <row r="52" spans="1:10" ht="12.75" customHeight="1">
      <c r="A52" s="602" t="s">
        <v>409</v>
      </c>
      <c r="B52" s="608"/>
      <c r="C52" s="608"/>
      <c r="D52" s="608"/>
      <c r="E52" s="608"/>
      <c r="F52" s="608"/>
      <c r="G52" s="608"/>
      <c r="H52" s="608"/>
      <c r="I52" s="608"/>
      <c r="J52" s="608"/>
    </row>
    <row r="53" spans="1:10">
      <c r="A53" s="555"/>
      <c r="B53" s="509"/>
      <c r="C53" s="509"/>
      <c r="D53" s="509"/>
      <c r="E53" s="509"/>
      <c r="F53" s="509"/>
      <c r="G53" s="509"/>
      <c r="H53" s="509"/>
      <c r="I53" s="509"/>
      <c r="J53" s="516" t="s">
        <v>374</v>
      </c>
    </row>
    <row r="54" spans="1:10">
      <c r="A54" s="524" t="s">
        <v>410</v>
      </c>
      <c r="B54" s="524"/>
      <c r="C54" s="524"/>
      <c r="D54" s="524"/>
      <c r="E54" s="524"/>
      <c r="F54" s="524"/>
      <c r="G54" s="524"/>
      <c r="H54" s="524"/>
      <c r="I54" s="525"/>
      <c r="J54" s="605">
        <f>J55+J57</f>
        <v>9115</v>
      </c>
    </row>
    <row r="55" spans="1:10">
      <c r="A55" s="615" t="s">
        <v>411</v>
      </c>
      <c r="B55" s="616"/>
      <c r="C55" s="616"/>
      <c r="D55" s="616"/>
      <c r="E55" s="616"/>
      <c r="F55" s="616"/>
      <c r="G55" s="616"/>
      <c r="H55" s="616"/>
      <c r="I55" s="509"/>
      <c r="J55" s="605">
        <f>'Guaranteed Standards '!J212+'Guaranteed Standards '!K212</f>
        <v>8819</v>
      </c>
    </row>
    <row r="56" spans="1:10">
      <c r="A56" s="523" t="s">
        <v>412</v>
      </c>
      <c r="B56" s="524"/>
      <c r="C56" s="524"/>
      <c r="D56" s="524"/>
      <c r="E56" s="524"/>
      <c r="F56" s="524"/>
      <c r="G56" s="524"/>
      <c r="H56" s="524"/>
      <c r="I56" s="524"/>
      <c r="J56" s="606">
        <f>J55/J54</f>
        <v>0.96752605595172791</v>
      </c>
    </row>
    <row r="57" spans="1:10">
      <c r="A57" s="523" t="s">
        <v>413</v>
      </c>
      <c r="B57" s="524"/>
      <c r="C57" s="524"/>
      <c r="D57" s="524"/>
      <c r="E57" s="524"/>
      <c r="F57" s="524"/>
      <c r="G57" s="524"/>
      <c r="H57" s="524"/>
      <c r="I57" s="524"/>
      <c r="J57" s="605">
        <f>'Guaranteed Standards '!J213+'Guaranteed Standards '!K213</f>
        <v>296</v>
      </c>
    </row>
    <row r="58" spans="1:10">
      <c r="A58" s="523" t="s">
        <v>414</v>
      </c>
      <c r="B58" s="524"/>
      <c r="C58" s="524"/>
      <c r="D58" s="524"/>
      <c r="E58" s="524"/>
      <c r="F58" s="524"/>
      <c r="G58" s="524"/>
      <c r="H58" s="524"/>
      <c r="I58" s="524"/>
      <c r="J58" s="606">
        <f>J57/J54</f>
        <v>3.2473944048272078E-2</v>
      </c>
    </row>
    <row r="59" spans="1:10">
      <c r="A59" s="509"/>
      <c r="B59" s="509"/>
      <c r="C59" s="509"/>
      <c r="D59" s="509"/>
      <c r="E59" s="509"/>
      <c r="F59" s="509"/>
      <c r="G59" s="509"/>
      <c r="H59" s="509"/>
      <c r="I59" s="509"/>
    </row>
    <row r="60" spans="1:10" s="619" customFormat="1">
      <c r="A60" s="617" t="s">
        <v>415</v>
      </c>
      <c r="B60" s="618"/>
      <c r="C60" s="618"/>
      <c r="D60" s="618"/>
      <c r="E60" s="618"/>
      <c r="F60" s="618"/>
      <c r="G60" s="618"/>
      <c r="H60" s="618"/>
      <c r="I60" s="618"/>
      <c r="J60" s="513"/>
    </row>
    <row r="61" spans="1:10">
      <c r="B61" s="620"/>
      <c r="C61" s="620"/>
      <c r="D61" s="620"/>
      <c r="E61" s="620"/>
      <c r="F61" s="620"/>
      <c r="G61" s="620"/>
      <c r="H61" s="620"/>
      <c r="I61" s="620"/>
      <c r="J61" s="516" t="s">
        <v>374</v>
      </c>
    </row>
    <row r="62" spans="1:10">
      <c r="A62" s="585" t="s">
        <v>416</v>
      </c>
      <c r="B62" s="550"/>
      <c r="C62" s="550"/>
      <c r="D62" s="550"/>
      <c r="E62" s="550"/>
      <c r="F62" s="550"/>
      <c r="G62" s="550"/>
      <c r="H62" s="550"/>
      <c r="I62" s="550"/>
      <c r="J62" s="621">
        <v>1952809</v>
      </c>
    </row>
    <row r="63" spans="1:10">
      <c r="A63" s="585" t="s">
        <v>417</v>
      </c>
      <c r="B63" s="550"/>
      <c r="C63" s="550"/>
      <c r="D63" s="550"/>
      <c r="E63" s="550"/>
      <c r="F63" s="550"/>
      <c r="G63" s="550"/>
      <c r="H63" s="550"/>
      <c r="I63" s="550"/>
      <c r="J63" s="621">
        <v>1797159</v>
      </c>
    </row>
    <row r="64" spans="1:10">
      <c r="A64" s="622" t="s">
        <v>418</v>
      </c>
      <c r="B64" s="586"/>
      <c r="C64" s="586"/>
      <c r="D64" s="586"/>
      <c r="E64" s="586"/>
      <c r="F64" s="586"/>
      <c r="G64" s="586"/>
      <c r="H64" s="586"/>
      <c r="I64" s="586"/>
      <c r="J64" s="623">
        <f>J63/J62</f>
        <v>0.92029430425607417</v>
      </c>
    </row>
    <row r="69" spans="11:13">
      <c r="K69" s="624"/>
      <c r="L69" s="624"/>
      <c r="M69" s="624"/>
    </row>
    <row r="76" spans="11:13">
      <c r="K76" s="624"/>
      <c r="L76" s="624"/>
      <c r="M76" s="624"/>
    </row>
    <row r="77" spans="11:13">
      <c r="K77" s="624"/>
      <c r="L77" s="624"/>
      <c r="M77" s="624"/>
    </row>
    <row r="85" spans="11:13">
      <c r="K85" s="625"/>
      <c r="L85" s="625"/>
      <c r="M85" s="625"/>
    </row>
  </sheetData>
  <sheetProtection selectLockedCells="1"/>
  <pageMargins left="0.70866141732283461" right="0.70866141732283461" top="0.19685039370078741" bottom="0.19685039370078741" header="0" footer="0"/>
  <pageSetup paperSize="8" scale="96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Totex costs summary</vt:lpstr>
      <vt:lpstr>Workload summary</vt:lpstr>
      <vt:lpstr>Safety</vt:lpstr>
      <vt:lpstr>Reliability</vt:lpstr>
      <vt:lpstr>Environmental</vt:lpstr>
      <vt:lpstr>Guaranteed Standards </vt:lpstr>
      <vt:lpstr>Licence Condition D10</vt:lpstr>
      <vt:lpstr>'Guaranteed Standards '!Print_Area</vt:lpstr>
      <vt:lpstr>Safety!Print_Area</vt:lpstr>
      <vt:lpstr>'Totex costs summary'!Print_Area</vt:lpstr>
      <vt:lpstr>'Workload summary'!Print_Area</vt:lpstr>
    </vt:vector>
  </TitlesOfParts>
  <Company>Wales &amp; West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Woolway</dc:creator>
  <cp:lastModifiedBy>Mark Woolway</cp:lastModifiedBy>
  <cp:lastPrinted>2018-07-31T11:16:22Z</cp:lastPrinted>
  <dcterms:created xsi:type="dcterms:W3CDTF">2018-07-31T11:13:13Z</dcterms:created>
  <dcterms:modified xsi:type="dcterms:W3CDTF">2018-07-31T11:56:25Z</dcterms:modified>
</cp:coreProperties>
</file>